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685" windowWidth="12240" windowHeight="2355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45621"/>
</workbook>
</file>

<file path=xl/calcChain.xml><?xml version="1.0" encoding="utf-8"?>
<calcChain xmlns="http://schemas.openxmlformats.org/spreadsheetml/2006/main">
  <c r="W412" i="18" l="1"/>
  <c r="H100" i="18" l="1"/>
  <c r="V100" i="18" s="1"/>
  <c r="W100" i="18" s="1"/>
  <c r="Q360" i="18" l="1"/>
  <c r="M360" i="18"/>
  <c r="K360" i="18"/>
  <c r="H360" i="18"/>
  <c r="N360" i="18" s="1"/>
  <c r="P360" i="18" s="1"/>
  <c r="V360" i="18" l="1"/>
  <c r="W360" i="18" s="1"/>
  <c r="L360" i="18"/>
  <c r="H40" i="18"/>
  <c r="N40" i="18" l="1"/>
  <c r="V40" i="18" s="1"/>
  <c r="W40" i="18" s="1"/>
  <c r="F19" i="22"/>
  <c r="J182" i="18" l="1"/>
  <c r="J184" i="18"/>
  <c r="J185" i="18"/>
  <c r="J187" i="18"/>
  <c r="J181" i="18"/>
  <c r="J161" i="18"/>
  <c r="F26" i="22"/>
  <c r="S109" i="18" l="1"/>
  <c r="S369" i="18" l="1"/>
  <c r="H142" i="18" l="1"/>
  <c r="H384" i="18" l="1"/>
  <c r="V384" i="18" s="1"/>
  <c r="W384" i="18" s="1"/>
  <c r="H375" i="18" l="1"/>
  <c r="V375" i="18" s="1"/>
  <c r="Z375" i="18" l="1"/>
  <c r="W375" i="18"/>
  <c r="Y375" i="18"/>
  <c r="I274" i="18" l="1"/>
  <c r="H244" i="18"/>
  <c r="Y244" i="18" l="1"/>
  <c r="L244" i="18"/>
  <c r="V244" i="18"/>
  <c r="N244" i="18"/>
  <c r="W244" i="18" l="1"/>
  <c r="Z244" i="18"/>
  <c r="H241" i="18"/>
  <c r="H242" i="18"/>
  <c r="N242" i="18" s="1"/>
  <c r="P242" i="18" s="1"/>
  <c r="V242" i="18" s="1"/>
  <c r="W242" i="18" s="1"/>
  <c r="H243" i="18"/>
  <c r="L243" i="18" s="1"/>
  <c r="H245" i="18"/>
  <c r="K245" i="18" s="1"/>
  <c r="L245" i="18" s="1"/>
  <c r="H246" i="18"/>
  <c r="K246" i="18" s="1"/>
  <c r="L246" i="18" s="1"/>
  <c r="H247" i="18"/>
  <c r="M247" i="18" s="1"/>
  <c r="Q245" i="18" l="1"/>
  <c r="N246" i="18"/>
  <c r="P246" i="18" s="1"/>
  <c r="M246" i="18"/>
  <c r="N245" i="18"/>
  <c r="P245" i="18" s="1"/>
  <c r="N243" i="18"/>
  <c r="P243" i="18" s="1"/>
  <c r="V243" i="18" s="1"/>
  <c r="K247" i="18"/>
  <c r="L247" i="18" s="1"/>
  <c r="Q247" i="18"/>
  <c r="N247" i="18"/>
  <c r="P247" i="18" s="1"/>
  <c r="Q246" i="18"/>
  <c r="M245" i="18"/>
  <c r="I222" i="18"/>
  <c r="V246" i="18" l="1"/>
  <c r="W246" i="18" s="1"/>
  <c r="V245" i="18"/>
  <c r="W245" i="18" s="1"/>
  <c r="W243" i="18"/>
  <c r="V247" i="18"/>
  <c r="W247" i="18" s="1"/>
  <c r="Y219" i="18" l="1"/>
  <c r="H218" i="18"/>
  <c r="I236" i="18" l="1"/>
  <c r="I210" i="18"/>
  <c r="I189" i="18"/>
  <c r="I176" i="18"/>
  <c r="I163" i="18"/>
  <c r="I156" i="18"/>
  <c r="I149" i="18"/>
  <c r="I132" i="18"/>
  <c r="I119" i="18"/>
  <c r="I109" i="18"/>
  <c r="I102" i="18"/>
  <c r="I92" i="18"/>
  <c r="I81" i="18"/>
  <c r="I73" i="18"/>
  <c r="I41" i="18"/>
  <c r="I30" i="18"/>
  <c r="I19" i="18"/>
  <c r="M187" i="18" l="1"/>
  <c r="K187" i="18"/>
  <c r="H187" i="18"/>
  <c r="L187" i="18" l="1"/>
  <c r="N187" i="18"/>
  <c r="P187" i="18" s="1"/>
  <c r="J30" i="18" l="1"/>
  <c r="R30" i="18"/>
  <c r="S30" i="18"/>
  <c r="T30" i="18"/>
  <c r="U30" i="18"/>
  <c r="H153" i="18" l="1"/>
  <c r="H77" i="18" l="1"/>
  <c r="L77" i="18" l="1"/>
  <c r="N77" i="18"/>
  <c r="P77" i="18" s="1"/>
  <c r="M350" i="18"/>
  <c r="K350" i="18"/>
  <c r="H350" i="18"/>
  <c r="N350" i="18" s="1"/>
  <c r="V350" i="18" l="1"/>
  <c r="W350" i="18" s="1"/>
  <c r="L350" i="18"/>
  <c r="H68" i="18"/>
  <c r="Z350" i="18" l="1"/>
  <c r="Y350" i="18"/>
  <c r="N68" i="18"/>
  <c r="P68" i="18" s="1"/>
  <c r="I352" i="18" l="1"/>
  <c r="H349" i="18"/>
  <c r="H65" i="18"/>
  <c r="N65" i="18" s="1"/>
  <c r="P65" i="18" s="1"/>
  <c r="J81" i="18"/>
  <c r="O81" i="18"/>
  <c r="R81" i="18"/>
  <c r="S81" i="18"/>
  <c r="T81" i="18"/>
  <c r="U81" i="18"/>
  <c r="N349" i="18" l="1"/>
  <c r="P349" i="18" s="1"/>
  <c r="Y349" i="18" s="1"/>
  <c r="H392" i="18" l="1"/>
  <c r="V392" i="18" s="1"/>
  <c r="W392" i="18" s="1"/>
  <c r="Y392" i="18" l="1"/>
  <c r="Z392" i="18"/>
  <c r="F29" i="22"/>
  <c r="U400" i="18"/>
  <c r="S400" i="18"/>
  <c r="R400" i="18"/>
  <c r="Q400" i="18"/>
  <c r="P400" i="18"/>
  <c r="N400" i="18"/>
  <c r="M400" i="18"/>
  <c r="L400" i="18"/>
  <c r="K400" i="18"/>
  <c r="J400" i="18"/>
  <c r="I400" i="18"/>
  <c r="H379" i="18"/>
  <c r="Y379" i="18" s="1"/>
  <c r="H399" i="18"/>
  <c r="Y399" i="18" s="1"/>
  <c r="H398" i="18"/>
  <c r="Y398" i="18" s="1"/>
  <c r="H397" i="18"/>
  <c r="Y397" i="18" s="1"/>
  <c r="H396" i="18"/>
  <c r="Y396" i="18" s="1"/>
  <c r="H382" i="18"/>
  <c r="Y382" i="18" s="1"/>
  <c r="H395" i="18"/>
  <c r="Y395" i="18" s="1"/>
  <c r="H394" i="18"/>
  <c r="Y394" i="18" s="1"/>
  <c r="H383" i="18"/>
  <c r="Y383" i="18" s="1"/>
  <c r="H393" i="18"/>
  <c r="Y393" i="18" s="1"/>
  <c r="Y384" i="18"/>
  <c r="H391" i="18"/>
  <c r="Y391" i="18" s="1"/>
  <c r="H390" i="18"/>
  <c r="Y390" i="18" s="1"/>
  <c r="H389" i="18"/>
  <c r="Y389" i="18" s="1"/>
  <c r="H388" i="18"/>
  <c r="Y388" i="18" s="1"/>
  <c r="H387" i="18"/>
  <c r="Y387" i="18" s="1"/>
  <c r="H381" i="18"/>
  <c r="Y381" i="18" s="1"/>
  <c r="H380" i="18"/>
  <c r="Y380" i="18" s="1"/>
  <c r="H386" i="18"/>
  <c r="Y386" i="18" s="1"/>
  <c r="T400" i="18"/>
  <c r="O400" i="18"/>
  <c r="Y378" i="18"/>
  <c r="H377" i="18"/>
  <c r="Y377" i="18" s="1"/>
  <c r="H385" i="18"/>
  <c r="Y385" i="18" s="1"/>
  <c r="H376" i="18"/>
  <c r="H78" i="18"/>
  <c r="Y168" i="18"/>
  <c r="H374" i="18"/>
  <c r="U369" i="18"/>
  <c r="T369" i="18"/>
  <c r="R369" i="18"/>
  <c r="J369" i="18"/>
  <c r="I369" i="18"/>
  <c r="H368" i="18"/>
  <c r="H367" i="18"/>
  <c r="K55" i="18" s="1"/>
  <c r="U362" i="18"/>
  <c r="T362" i="18"/>
  <c r="S362" i="18"/>
  <c r="R362" i="18"/>
  <c r="O362" i="18"/>
  <c r="J362" i="18"/>
  <c r="I362" i="18"/>
  <c r="H361" i="18"/>
  <c r="M361" i="18" s="1"/>
  <c r="H359" i="18"/>
  <c r="N359" i="18" s="1"/>
  <c r="P359" i="18" s="1"/>
  <c r="H358" i="18"/>
  <c r="H357" i="18"/>
  <c r="N357" i="18" s="1"/>
  <c r="P357" i="18" s="1"/>
  <c r="H356" i="18"/>
  <c r="U352" i="18"/>
  <c r="T352" i="18"/>
  <c r="S352" i="18"/>
  <c r="R352" i="18"/>
  <c r="O352" i="18"/>
  <c r="J352" i="18"/>
  <c r="H351" i="18"/>
  <c r="H352" i="18" s="1"/>
  <c r="K344" i="18"/>
  <c r="U345" i="18"/>
  <c r="T345" i="18"/>
  <c r="S345" i="18"/>
  <c r="R345" i="18"/>
  <c r="O345" i="18"/>
  <c r="J345" i="18"/>
  <c r="I345" i="18"/>
  <c r="H344" i="18"/>
  <c r="Q361" i="18" s="1"/>
  <c r="H343" i="18"/>
  <c r="Q342" i="18"/>
  <c r="K342" i="18"/>
  <c r="H342" i="18"/>
  <c r="N342" i="18" s="1"/>
  <c r="P342" i="18" s="1"/>
  <c r="H341" i="18"/>
  <c r="H340" i="18"/>
  <c r="U336" i="18"/>
  <c r="T336" i="18"/>
  <c r="S336" i="18"/>
  <c r="R336" i="18"/>
  <c r="O336" i="18"/>
  <c r="J336" i="18"/>
  <c r="I336" i="18"/>
  <c r="H335" i="18"/>
  <c r="H334" i="18"/>
  <c r="N334" i="18" s="1"/>
  <c r="P334" i="18" s="1"/>
  <c r="V334" i="18" s="1"/>
  <c r="H333" i="18"/>
  <c r="M249" i="18" s="1"/>
  <c r="U329" i="18"/>
  <c r="T329" i="18"/>
  <c r="S329" i="18"/>
  <c r="R329" i="18"/>
  <c r="O329" i="18"/>
  <c r="J329" i="18"/>
  <c r="I329" i="18"/>
  <c r="H328" i="18"/>
  <c r="H327" i="18"/>
  <c r="H326" i="18"/>
  <c r="H325" i="18"/>
  <c r="Y324" i="18"/>
  <c r="V324" i="18"/>
  <c r="Z324" i="18" s="1"/>
  <c r="N324" i="18"/>
  <c r="H323" i="18"/>
  <c r="U318" i="18"/>
  <c r="T318" i="18"/>
  <c r="S318" i="18"/>
  <c r="R318" i="18"/>
  <c r="J318" i="18"/>
  <c r="I318" i="18"/>
  <c r="H317" i="18"/>
  <c r="N317" i="18" s="1"/>
  <c r="P317" i="18" s="1"/>
  <c r="H316" i="18"/>
  <c r="N316" i="18" s="1"/>
  <c r="P316" i="18" s="1"/>
  <c r="Y316" i="18" s="1"/>
  <c r="H315" i="18"/>
  <c r="Q315" i="18" s="1"/>
  <c r="H314" i="18"/>
  <c r="Q314" i="18" s="1"/>
  <c r="H313" i="18"/>
  <c r="Q313" i="18" s="1"/>
  <c r="H312" i="18"/>
  <c r="Q312" i="18" s="1"/>
  <c r="H311" i="18"/>
  <c r="Q311" i="18" s="1"/>
  <c r="H310" i="18"/>
  <c r="Q310" i="18" s="1"/>
  <c r="H309" i="18"/>
  <c r="M309" i="18" s="1"/>
  <c r="H308" i="18"/>
  <c r="M308" i="18" s="1"/>
  <c r="H307" i="18"/>
  <c r="L307" i="18" s="1"/>
  <c r="H306" i="18"/>
  <c r="H305" i="18"/>
  <c r="N305" i="18" s="1"/>
  <c r="P305" i="18" s="1"/>
  <c r="H304" i="18"/>
  <c r="N304" i="18" s="1"/>
  <c r="P304" i="18" s="1"/>
  <c r="H303" i="18"/>
  <c r="K305" i="18" s="1"/>
  <c r="L305" i="18" s="1"/>
  <c r="H302" i="18"/>
  <c r="H301" i="18"/>
  <c r="N301" i="18" s="1"/>
  <c r="P301" i="18" s="1"/>
  <c r="H300" i="18"/>
  <c r="U295" i="18"/>
  <c r="T295" i="18"/>
  <c r="S295" i="18"/>
  <c r="R295" i="18"/>
  <c r="O295" i="18"/>
  <c r="J295" i="18"/>
  <c r="I295" i="18"/>
  <c r="H294" i="18"/>
  <c r="H293" i="18"/>
  <c r="N293" i="18" s="1"/>
  <c r="P293" i="18" s="1"/>
  <c r="H292" i="18"/>
  <c r="H291" i="18"/>
  <c r="M294" i="18" s="1"/>
  <c r="H290" i="18"/>
  <c r="M252" i="18" s="1"/>
  <c r="H289" i="18"/>
  <c r="U286" i="18"/>
  <c r="T286" i="18"/>
  <c r="S286" i="18"/>
  <c r="R286" i="18"/>
  <c r="O286" i="18"/>
  <c r="J286" i="18"/>
  <c r="I286" i="18"/>
  <c r="H285" i="18"/>
  <c r="N285" i="18" s="1"/>
  <c r="P285" i="18" s="1"/>
  <c r="H284" i="18"/>
  <c r="U279" i="18"/>
  <c r="S279" i="18"/>
  <c r="R279" i="18"/>
  <c r="O279" i="18"/>
  <c r="J279" i="18"/>
  <c r="I279" i="18"/>
  <c r="W406" i="18"/>
  <c r="H278" i="18"/>
  <c r="H279" i="18" s="1"/>
  <c r="U274" i="18"/>
  <c r="T274" i="18"/>
  <c r="S274" i="18"/>
  <c r="R274" i="18"/>
  <c r="J274" i="18"/>
  <c r="H273" i="18"/>
  <c r="M273" i="18" s="1"/>
  <c r="H272" i="18"/>
  <c r="N272" i="18" s="1"/>
  <c r="P272" i="18" s="1"/>
  <c r="H271" i="18"/>
  <c r="N271" i="18" s="1"/>
  <c r="P271" i="18" s="1"/>
  <c r="H270" i="18"/>
  <c r="N270" i="18" s="1"/>
  <c r="P270" i="18" s="1"/>
  <c r="H269" i="18"/>
  <c r="H267" i="18"/>
  <c r="N267" i="18" s="1"/>
  <c r="H266" i="18"/>
  <c r="N266" i="18" s="1"/>
  <c r="P266" i="18" s="1"/>
  <c r="H265" i="18"/>
  <c r="H264" i="18"/>
  <c r="H263" i="18"/>
  <c r="H262" i="18"/>
  <c r="N262" i="18" s="1"/>
  <c r="P262" i="18" s="1"/>
  <c r="H261" i="18"/>
  <c r="H260" i="18"/>
  <c r="Q262" i="18" s="1"/>
  <c r="Q259" i="18"/>
  <c r="H259" i="18"/>
  <c r="H258" i="18"/>
  <c r="Q258" i="18" s="1"/>
  <c r="H257" i="18"/>
  <c r="H256" i="18"/>
  <c r="Q256" i="18" s="1"/>
  <c r="H255" i="18"/>
  <c r="M255" i="18" s="1"/>
  <c r="H254" i="18"/>
  <c r="N254" i="18" s="1"/>
  <c r="P254" i="18" s="1"/>
  <c r="H253" i="18"/>
  <c r="H252" i="18"/>
  <c r="N252" i="18" s="1"/>
  <c r="P252" i="18" s="1"/>
  <c r="H251" i="18"/>
  <c r="N251" i="18" s="1"/>
  <c r="P251" i="18" s="1"/>
  <c r="H250" i="18"/>
  <c r="N250" i="18" s="1"/>
  <c r="P250" i="18" s="1"/>
  <c r="H249" i="18"/>
  <c r="M251" i="18" s="1"/>
  <c r="H248" i="18"/>
  <c r="H240" i="18"/>
  <c r="U236" i="18"/>
  <c r="T236" i="18"/>
  <c r="S236" i="18"/>
  <c r="R236" i="18"/>
  <c r="O236" i="18"/>
  <c r="J236" i="18"/>
  <c r="H234" i="18"/>
  <c r="H232" i="18"/>
  <c r="U228" i="18"/>
  <c r="T228" i="18"/>
  <c r="S228" i="18"/>
  <c r="R228" i="18"/>
  <c r="O228" i="18"/>
  <c r="J228" i="18"/>
  <c r="I228" i="18"/>
  <c r="H227" i="18"/>
  <c r="H228" i="18" s="1"/>
  <c r="U222" i="18"/>
  <c r="T222" i="18"/>
  <c r="S222" i="18"/>
  <c r="R222" i="18"/>
  <c r="J222" i="18"/>
  <c r="H220" i="18"/>
  <c r="N220" i="18" s="1"/>
  <c r="P220" i="18" s="1"/>
  <c r="V219" i="18"/>
  <c r="Z219" i="18" s="1"/>
  <c r="H217" i="18"/>
  <c r="H216" i="18"/>
  <c r="H215" i="18"/>
  <c r="U210" i="18"/>
  <c r="T210" i="18"/>
  <c r="S210" i="18"/>
  <c r="R210" i="18"/>
  <c r="J210" i="18"/>
  <c r="H209" i="18"/>
  <c r="K196" i="18" s="1"/>
  <c r="H208" i="18"/>
  <c r="H207" i="18"/>
  <c r="M208" i="18" s="1"/>
  <c r="H206" i="18"/>
  <c r="H205" i="18"/>
  <c r="Z204" i="18"/>
  <c r="Y204" i="18"/>
  <c r="H203" i="18"/>
  <c r="N203" i="18" s="1"/>
  <c r="P203" i="18" s="1"/>
  <c r="H202" i="18"/>
  <c r="N202" i="18" s="1"/>
  <c r="P202" i="18" s="1"/>
  <c r="H201" i="18"/>
  <c r="N201" i="18" s="1"/>
  <c r="P201" i="18" s="1"/>
  <c r="H200" i="18"/>
  <c r="N200" i="18" s="1"/>
  <c r="P200" i="18" s="1"/>
  <c r="H199" i="18"/>
  <c r="H198" i="18"/>
  <c r="N198" i="18" s="1"/>
  <c r="P198" i="18" s="1"/>
  <c r="H197" i="18"/>
  <c r="H196" i="18"/>
  <c r="H195" i="18"/>
  <c r="H194" i="18"/>
  <c r="U189" i="18"/>
  <c r="T189" i="18"/>
  <c r="S189" i="18"/>
  <c r="R189" i="18"/>
  <c r="O189" i="18"/>
  <c r="H188" i="18"/>
  <c r="N188" i="18" s="1"/>
  <c r="P188" i="18" s="1"/>
  <c r="M186" i="18"/>
  <c r="K186" i="18"/>
  <c r="H186" i="18"/>
  <c r="N186" i="18" s="1"/>
  <c r="M185" i="18"/>
  <c r="K185" i="18"/>
  <c r="H185" i="18"/>
  <c r="N185" i="18" s="1"/>
  <c r="P185" i="18" s="1"/>
  <c r="H184" i="18"/>
  <c r="N184" i="18" s="1"/>
  <c r="P184" i="18" s="1"/>
  <c r="H183" i="18"/>
  <c r="N183" i="18" s="1"/>
  <c r="P183" i="18" s="1"/>
  <c r="H182" i="18"/>
  <c r="J189" i="18"/>
  <c r="H181" i="18"/>
  <c r="H180" i="18"/>
  <c r="M167" i="18" s="1"/>
  <c r="U176" i="18"/>
  <c r="T176" i="18"/>
  <c r="S176" i="18"/>
  <c r="R176" i="18"/>
  <c r="O176" i="18"/>
  <c r="J176" i="18"/>
  <c r="H175" i="18"/>
  <c r="Q175" i="18" s="1"/>
  <c r="H174" i="18"/>
  <c r="Q174" i="18" s="1"/>
  <c r="H173" i="18"/>
  <c r="Q173" i="18" s="1"/>
  <c r="H172" i="18"/>
  <c r="Q172" i="18" s="1"/>
  <c r="H171" i="18"/>
  <c r="Q171" i="18" s="1"/>
  <c r="H170" i="18"/>
  <c r="N170" i="18" s="1"/>
  <c r="P170" i="18" s="1"/>
  <c r="H169" i="18"/>
  <c r="H91" i="18"/>
  <c r="N91" i="18" s="1"/>
  <c r="P91" i="18" s="1"/>
  <c r="H167" i="18"/>
  <c r="U163" i="18"/>
  <c r="T163" i="18"/>
  <c r="S163" i="18"/>
  <c r="R163" i="18"/>
  <c r="J163" i="18"/>
  <c r="Z162" i="18"/>
  <c r="Y162" i="18"/>
  <c r="H161" i="18"/>
  <c r="Q163" i="18" s="1"/>
  <c r="H160" i="18"/>
  <c r="U156" i="18"/>
  <c r="T156" i="18"/>
  <c r="S156" i="18"/>
  <c r="R156" i="18"/>
  <c r="O156" i="18"/>
  <c r="J156" i="18"/>
  <c r="H155" i="18"/>
  <c r="H154" i="18"/>
  <c r="U149" i="18"/>
  <c r="T149" i="18"/>
  <c r="S149" i="18"/>
  <c r="R149" i="18"/>
  <c r="O149" i="18"/>
  <c r="J149" i="18"/>
  <c r="Z148" i="18"/>
  <c r="Y148" i="18"/>
  <c r="Z147" i="18"/>
  <c r="Y147" i="18"/>
  <c r="Z146" i="18"/>
  <c r="Y146" i="18"/>
  <c r="H145" i="18"/>
  <c r="H144" i="18"/>
  <c r="N144" i="18" s="1"/>
  <c r="H143" i="18"/>
  <c r="N143" i="18" s="1"/>
  <c r="P143" i="18" s="1"/>
  <c r="Z142" i="18"/>
  <c r="H141" i="18"/>
  <c r="H140" i="18"/>
  <c r="Q144" i="18" s="1"/>
  <c r="H139" i="18"/>
  <c r="H138" i="18"/>
  <c r="U132" i="18"/>
  <c r="T132" i="18"/>
  <c r="S132" i="18"/>
  <c r="R132" i="18"/>
  <c r="Q132" i="18"/>
  <c r="J132" i="18"/>
  <c r="H131" i="18"/>
  <c r="L131" i="18" s="1"/>
  <c r="H130" i="18"/>
  <c r="L130" i="18" s="1"/>
  <c r="H129" i="18"/>
  <c r="L129" i="18" s="1"/>
  <c r="H128" i="18"/>
  <c r="L128" i="18" s="1"/>
  <c r="H127" i="18"/>
  <c r="L127" i="18" s="1"/>
  <c r="H126" i="18"/>
  <c r="H125" i="18"/>
  <c r="U119" i="18"/>
  <c r="T119" i="18"/>
  <c r="S119" i="18"/>
  <c r="R119" i="18"/>
  <c r="O119" i="18"/>
  <c r="J119" i="18"/>
  <c r="H118" i="18"/>
  <c r="N118" i="18" s="1"/>
  <c r="P118" i="18" s="1"/>
  <c r="K117" i="18"/>
  <c r="H117" i="18"/>
  <c r="H116" i="18"/>
  <c r="H115" i="18"/>
  <c r="H114" i="18"/>
  <c r="H113" i="18"/>
  <c r="U109" i="18"/>
  <c r="T109" i="18"/>
  <c r="R109" i="18"/>
  <c r="J109" i="18"/>
  <c r="Q109" i="18"/>
  <c r="H108" i="18"/>
  <c r="H107" i="18"/>
  <c r="H106" i="18"/>
  <c r="U102" i="18"/>
  <c r="T102" i="18"/>
  <c r="S102" i="18"/>
  <c r="R102" i="18"/>
  <c r="Q102" i="18"/>
  <c r="O102" i="18"/>
  <c r="J102" i="18"/>
  <c r="H101" i="18"/>
  <c r="H102" i="18" s="1"/>
  <c r="Z99" i="18"/>
  <c r="Y99" i="18"/>
  <c r="U92" i="18"/>
  <c r="T92" i="18"/>
  <c r="S92" i="18"/>
  <c r="R92" i="18"/>
  <c r="O92" i="18"/>
  <c r="J92" i="18"/>
  <c r="H29" i="18"/>
  <c r="L29" i="18" s="1"/>
  <c r="H90" i="18"/>
  <c r="U86" i="18"/>
  <c r="T86" i="18"/>
  <c r="S86" i="18"/>
  <c r="R86" i="18"/>
  <c r="Q86" i="18"/>
  <c r="O86" i="18"/>
  <c r="M86" i="18"/>
  <c r="K86" i="18"/>
  <c r="J86" i="18"/>
  <c r="I86" i="18"/>
  <c r="H85" i="18"/>
  <c r="U73" i="18"/>
  <c r="T73" i="18"/>
  <c r="S73" i="18"/>
  <c r="R73" i="18"/>
  <c r="J73" i="18"/>
  <c r="H72" i="18"/>
  <c r="H71" i="18"/>
  <c r="N71" i="18" s="1"/>
  <c r="P71" i="18" s="1"/>
  <c r="H70" i="18"/>
  <c r="Q70" i="18" s="1"/>
  <c r="Q79" i="18"/>
  <c r="Q81" i="18" s="1"/>
  <c r="H79" i="18"/>
  <c r="N79" i="18" s="1"/>
  <c r="H69" i="18"/>
  <c r="H67" i="18"/>
  <c r="H66" i="18"/>
  <c r="H64" i="18"/>
  <c r="Q63" i="18"/>
  <c r="M63" i="18"/>
  <c r="H63" i="18"/>
  <c r="H62" i="18"/>
  <c r="H61" i="18"/>
  <c r="U57" i="18"/>
  <c r="T57" i="18"/>
  <c r="S57" i="18"/>
  <c r="R57" i="18"/>
  <c r="O57" i="18"/>
  <c r="J57" i="18"/>
  <c r="I57" i="18"/>
  <c r="Q55" i="18"/>
  <c r="H55" i="18"/>
  <c r="N55" i="18" s="1"/>
  <c r="P55" i="18" s="1"/>
  <c r="H54" i="18"/>
  <c r="U50" i="18"/>
  <c r="T50" i="18"/>
  <c r="S50" i="18"/>
  <c r="R50" i="18"/>
  <c r="J50" i="18"/>
  <c r="I50" i="18"/>
  <c r="H49" i="18"/>
  <c r="L49" i="18" s="1"/>
  <c r="H80" i="18"/>
  <c r="L80" i="18" s="1"/>
  <c r="M48" i="18"/>
  <c r="M50" i="18" s="1"/>
  <c r="H48" i="18"/>
  <c r="Q36" i="18" s="1"/>
  <c r="H47" i="18"/>
  <c r="L47" i="18" s="1"/>
  <c r="H46" i="18"/>
  <c r="U41" i="18"/>
  <c r="T41" i="18"/>
  <c r="S41" i="18"/>
  <c r="R41" i="18"/>
  <c r="O41" i="18"/>
  <c r="J41" i="18"/>
  <c r="Z40" i="18"/>
  <c r="Y40" i="18"/>
  <c r="H39" i="18"/>
  <c r="N39" i="18" s="1"/>
  <c r="P39" i="18" s="1"/>
  <c r="H38" i="18"/>
  <c r="N38" i="18" s="1"/>
  <c r="P38" i="18" s="1"/>
  <c r="H37" i="18"/>
  <c r="H36" i="18"/>
  <c r="N36" i="18" s="1"/>
  <c r="P36" i="18" s="1"/>
  <c r="H35" i="18"/>
  <c r="M233" i="18"/>
  <c r="H233" i="18"/>
  <c r="H28" i="18"/>
  <c r="M155" i="18" s="1"/>
  <c r="H27" i="18"/>
  <c r="N27" i="18" s="1"/>
  <c r="H26" i="18"/>
  <c r="Q27" i="18" s="1"/>
  <c r="H24" i="18"/>
  <c r="U19" i="18"/>
  <c r="T19" i="18"/>
  <c r="S19" i="18"/>
  <c r="R19" i="18"/>
  <c r="J19" i="18"/>
  <c r="H17" i="18"/>
  <c r="H16" i="18"/>
  <c r="Q16" i="18" s="1"/>
  <c r="H15" i="18"/>
  <c r="N15" i="18" s="1"/>
  <c r="P15" i="18" s="1"/>
  <c r="H14" i="18"/>
  <c r="H13" i="18"/>
  <c r="N13" i="18" s="1"/>
  <c r="P13" i="18" s="1"/>
  <c r="H12" i="18"/>
  <c r="Q12" i="18" s="1"/>
  <c r="H11" i="18"/>
  <c r="N11" i="18" s="1"/>
  <c r="P11" i="18" s="1"/>
  <c r="H10" i="18"/>
  <c r="Q10" i="18" s="1"/>
  <c r="H9" i="18"/>
  <c r="Q9" i="18" s="1"/>
  <c r="H8" i="18"/>
  <c r="L62" i="18" l="1"/>
  <c r="M40" i="18"/>
  <c r="K40" i="18"/>
  <c r="L40" i="18" s="1"/>
  <c r="M17" i="18"/>
  <c r="K37" i="18"/>
  <c r="L37" i="18" s="1"/>
  <c r="M38" i="18"/>
  <c r="O64" i="18"/>
  <c r="K69" i="18"/>
  <c r="O107" i="18"/>
  <c r="O109" i="18" s="1"/>
  <c r="M203" i="18"/>
  <c r="K36" i="18"/>
  <c r="L36" i="18" s="1"/>
  <c r="U403" i="18"/>
  <c r="K17" i="18"/>
  <c r="L17" i="18" s="1"/>
  <c r="N17" i="18" s="1"/>
  <c r="P17" i="18" s="1"/>
  <c r="O17" i="18"/>
  <c r="O19" i="18" s="1"/>
  <c r="K48" i="18"/>
  <c r="K50" i="18" s="1"/>
  <c r="O48" i="18"/>
  <c r="O50" i="18" s="1"/>
  <c r="K64" i="18"/>
  <c r="O69" i="18"/>
  <c r="K107" i="18"/>
  <c r="M126" i="18"/>
  <c r="M132" i="18" s="1"/>
  <c r="S403" i="18"/>
  <c r="V376" i="18"/>
  <c r="Y376" i="18"/>
  <c r="Q252" i="18"/>
  <c r="V252" i="18" s="1"/>
  <c r="H163" i="18"/>
  <c r="K63" i="18"/>
  <c r="O63" i="18"/>
  <c r="M64" i="18"/>
  <c r="M69" i="18"/>
  <c r="M107" i="18"/>
  <c r="K126" i="18"/>
  <c r="K132" i="18" s="1"/>
  <c r="O126" i="18"/>
  <c r="O132" i="18" s="1"/>
  <c r="M160" i="18"/>
  <c r="K160" i="18"/>
  <c r="O160" i="18"/>
  <c r="O163" i="18" s="1"/>
  <c r="O195" i="18"/>
  <c r="M117" i="18"/>
  <c r="H132" i="18"/>
  <c r="K203" i="18"/>
  <c r="I403" i="18"/>
  <c r="H274" i="18"/>
  <c r="Q209" i="18"/>
  <c r="M241" i="18"/>
  <c r="K241" i="18"/>
  <c r="L241" i="18" s="1"/>
  <c r="O241" i="18"/>
  <c r="M218" i="18"/>
  <c r="O218" i="18"/>
  <c r="K218" i="18"/>
  <c r="L218" i="18" s="1"/>
  <c r="N218" i="18" s="1"/>
  <c r="K242" i="18"/>
  <c r="L242" i="18" s="1"/>
  <c r="M242" i="18"/>
  <c r="R403" i="18"/>
  <c r="J403" i="18"/>
  <c r="H295" i="18"/>
  <c r="H30" i="18"/>
  <c r="Q220" i="18"/>
  <c r="V220" i="18" s="1"/>
  <c r="Q187" i="18"/>
  <c r="Y374" i="18"/>
  <c r="Y400" i="18" s="1"/>
  <c r="H400" i="18"/>
  <c r="Q69" i="18"/>
  <c r="H369" i="18"/>
  <c r="Q356" i="18"/>
  <c r="H362" i="18"/>
  <c r="Q340" i="18"/>
  <c r="H345" i="18"/>
  <c r="M333" i="18"/>
  <c r="M336" i="18" s="1"/>
  <c r="H336" i="18"/>
  <c r="H329" i="18"/>
  <c r="K259" i="18"/>
  <c r="L259" i="18" s="1"/>
  <c r="H318" i="18"/>
  <c r="M323" i="18"/>
  <c r="M329" i="18" s="1"/>
  <c r="H286" i="18"/>
  <c r="N233" i="18"/>
  <c r="P233" i="18" s="1"/>
  <c r="H236" i="18"/>
  <c r="M240" i="18"/>
  <c r="H222" i="18"/>
  <c r="Q194" i="18"/>
  <c r="H210" i="18"/>
  <c r="Q180" i="18"/>
  <c r="H189" i="18"/>
  <c r="Q46" i="18"/>
  <c r="H176" i="18"/>
  <c r="N154" i="18"/>
  <c r="P154" i="18" s="1"/>
  <c r="Y154" i="18" s="1"/>
  <c r="H156" i="18"/>
  <c r="H149" i="18"/>
  <c r="H119" i="18"/>
  <c r="L106" i="18"/>
  <c r="H109" i="18"/>
  <c r="M235" i="18"/>
  <c r="H92" i="18"/>
  <c r="L85" i="18"/>
  <c r="L86" i="18" s="1"/>
  <c r="H86" i="18"/>
  <c r="Y78" i="18"/>
  <c r="H81" i="18"/>
  <c r="L61" i="18"/>
  <c r="H73" i="18"/>
  <c r="N54" i="18"/>
  <c r="H57" i="18"/>
  <c r="L46" i="18"/>
  <c r="H50" i="18"/>
  <c r="L35" i="18"/>
  <c r="H41" i="18"/>
  <c r="H19" i="18"/>
  <c r="K252" i="18"/>
  <c r="L252" i="18" s="1"/>
  <c r="K195" i="18"/>
  <c r="L195" i="18" s="1"/>
  <c r="O196" i="18"/>
  <c r="N153" i="18"/>
  <c r="K68" i="18"/>
  <c r="L68" i="18" s="1"/>
  <c r="M68" i="18"/>
  <c r="Q68" i="18"/>
  <c r="V68" i="18" s="1"/>
  <c r="W68" i="18" s="1"/>
  <c r="M37" i="18"/>
  <c r="K38" i="18"/>
  <c r="L38" i="18" s="1"/>
  <c r="M342" i="18"/>
  <c r="N351" i="18"/>
  <c r="Y351" i="18"/>
  <c r="K358" i="18"/>
  <c r="L358" i="18" s="1"/>
  <c r="M349" i="18"/>
  <c r="V349" i="18"/>
  <c r="K349" i="18"/>
  <c r="L349" i="18" s="1"/>
  <c r="Q17" i="18"/>
  <c r="K26" i="18"/>
  <c r="L26" i="18" s="1"/>
  <c r="K233" i="18"/>
  <c r="Q233" i="18"/>
  <c r="M36" i="18"/>
  <c r="Q48" i="18"/>
  <c r="M55" i="18"/>
  <c r="Q64" i="18"/>
  <c r="K249" i="18"/>
  <c r="L249" i="18" s="1"/>
  <c r="M259" i="18"/>
  <c r="M71" i="18"/>
  <c r="Q65" i="18"/>
  <c r="K65" i="18"/>
  <c r="L65" i="18" s="1"/>
  <c r="M65" i="18"/>
  <c r="P79" i="18"/>
  <c r="V79" i="18" s="1"/>
  <c r="Y77" i="18"/>
  <c r="K207" i="18"/>
  <c r="L207" i="18" s="1"/>
  <c r="K215" i="18"/>
  <c r="L215" i="18" s="1"/>
  <c r="M344" i="18"/>
  <c r="K359" i="18"/>
  <c r="V77" i="18"/>
  <c r="K197" i="18"/>
  <c r="L197" i="18" s="1"/>
  <c r="V387" i="18"/>
  <c r="Z387" i="18" s="1"/>
  <c r="K10" i="18"/>
  <c r="K260" i="18"/>
  <c r="L260" i="18" s="1"/>
  <c r="V262" i="18"/>
  <c r="Z262" i="18" s="1"/>
  <c r="K273" i="18"/>
  <c r="L273" i="18" s="1"/>
  <c r="K284" i="18"/>
  <c r="L284" i="18" s="1"/>
  <c r="L344" i="18"/>
  <c r="M359" i="18"/>
  <c r="V374" i="18"/>
  <c r="Z374" i="18" s="1"/>
  <c r="V394" i="18"/>
  <c r="Z394" i="18" s="1"/>
  <c r="Q26" i="18"/>
  <c r="K27" i="18"/>
  <c r="L27" i="18" s="1"/>
  <c r="N140" i="18"/>
  <c r="P140" i="18" s="1"/>
  <c r="Q141" i="18"/>
  <c r="Q197" i="18"/>
  <c r="Q215" i="18"/>
  <c r="Y243" i="18"/>
  <c r="V379" i="18"/>
  <c r="Z379" i="18" s="1"/>
  <c r="W219" i="18"/>
  <c r="Y252" i="18"/>
  <c r="N308" i="18"/>
  <c r="P308" i="18" s="1"/>
  <c r="N309" i="18"/>
  <c r="P309" i="18" s="1"/>
  <c r="M340" i="18"/>
  <c r="N344" i="18"/>
  <c r="P344" i="18" s="1"/>
  <c r="M351" i="18"/>
  <c r="N356" i="18"/>
  <c r="K16" i="18"/>
  <c r="L16" i="18" s="1"/>
  <c r="N26" i="18"/>
  <c r="P26" i="18" s="1"/>
  <c r="Q57" i="18"/>
  <c r="N108" i="18"/>
  <c r="P108" i="18" s="1"/>
  <c r="V108" i="18" s="1"/>
  <c r="Q140" i="18"/>
  <c r="N141" i="18"/>
  <c r="P141" i="18" s="1"/>
  <c r="Q143" i="18"/>
  <c r="V143" i="18" s="1"/>
  <c r="Q145" i="18"/>
  <c r="Y145" i="18" s="1"/>
  <c r="L160" i="18"/>
  <c r="K167" i="18"/>
  <c r="L167" i="18" s="1"/>
  <c r="Q167" i="18"/>
  <c r="K180" i="18"/>
  <c r="L180" i="18" s="1"/>
  <c r="L186" i="18"/>
  <c r="K188" i="18"/>
  <c r="L188" i="18" s="1"/>
  <c r="M195" i="18"/>
  <c r="L196" i="18"/>
  <c r="M196" i="18"/>
  <c r="N197" i="18"/>
  <c r="P197" i="18" s="1"/>
  <c r="N215" i="18"/>
  <c r="P215" i="18" s="1"/>
  <c r="N273" i="18"/>
  <c r="P273" i="18" s="1"/>
  <c r="N278" i="18"/>
  <c r="P278" i="18" s="1"/>
  <c r="P279" i="18" s="1"/>
  <c r="N284" i="18"/>
  <c r="P284" i="18" s="1"/>
  <c r="P286" i="18" s="1"/>
  <c r="M285" i="18"/>
  <c r="K290" i="18"/>
  <c r="L290" i="18" s="1"/>
  <c r="K308" i="18"/>
  <c r="L308" i="18" s="1"/>
  <c r="Q308" i="18"/>
  <c r="K309" i="18"/>
  <c r="L309" i="18" s="1"/>
  <c r="Q309" i="18"/>
  <c r="L316" i="18"/>
  <c r="N325" i="18"/>
  <c r="P325" i="18" s="1"/>
  <c r="V325" i="18" s="1"/>
  <c r="Z325" i="18" s="1"/>
  <c r="N328" i="18"/>
  <c r="P328" i="18" s="1"/>
  <c r="Y328" i="18" s="1"/>
  <c r="K340" i="18"/>
  <c r="K345" i="18" s="1"/>
  <c r="Q344" i="18"/>
  <c r="V351" i="18"/>
  <c r="Z351" i="18" s="1"/>
  <c r="M358" i="18"/>
  <c r="Z378" i="18"/>
  <c r="V391" i="18"/>
  <c r="Z391" i="18" s="1"/>
  <c r="V396" i="18"/>
  <c r="Z396" i="18" s="1"/>
  <c r="Y39" i="18"/>
  <c r="V39" i="18"/>
  <c r="Y198" i="18"/>
  <c r="V198" i="18"/>
  <c r="Z242" i="18"/>
  <c r="M54" i="18"/>
  <c r="K54" i="18"/>
  <c r="L54" i="18" s="1"/>
  <c r="M8" i="18"/>
  <c r="K8" i="18"/>
  <c r="N8" i="18"/>
  <c r="P8" i="18" s="1"/>
  <c r="Q8" i="18"/>
  <c r="K12" i="18"/>
  <c r="L12" i="18" s="1"/>
  <c r="Q14" i="18"/>
  <c r="K14" i="18"/>
  <c r="V36" i="18"/>
  <c r="W36" i="18" s="1"/>
  <c r="Y144" i="18"/>
  <c r="V144" i="18"/>
  <c r="N37" i="18"/>
  <c r="Y37" i="18" s="1"/>
  <c r="V38" i="18"/>
  <c r="Z38" i="18" s="1"/>
  <c r="N46" i="18"/>
  <c r="P46" i="18" s="1"/>
  <c r="N80" i="18"/>
  <c r="P80" i="18" s="1"/>
  <c r="V80" i="18" s="1"/>
  <c r="N49" i="18"/>
  <c r="P49" i="18" s="1"/>
  <c r="V49" i="18" s="1"/>
  <c r="W49" i="18" s="1"/>
  <c r="V55" i="18"/>
  <c r="Z55" i="18" s="1"/>
  <c r="M79" i="18"/>
  <c r="M81" i="18" s="1"/>
  <c r="N85" i="18"/>
  <c r="N90" i="18"/>
  <c r="Q90" i="18"/>
  <c r="N29" i="18"/>
  <c r="P29" i="18" s="1"/>
  <c r="Q29" i="18"/>
  <c r="Q92" i="18" s="1"/>
  <c r="M101" i="18"/>
  <c r="M102" i="18" s="1"/>
  <c r="N106" i="18"/>
  <c r="P106" i="18" s="1"/>
  <c r="Q106" i="18"/>
  <c r="K108" i="18"/>
  <c r="L108" i="18" s="1"/>
  <c r="K113" i="18"/>
  <c r="L113" i="18" s="1"/>
  <c r="Q113" i="18"/>
  <c r="Q119" i="18" s="1"/>
  <c r="M138" i="18"/>
  <c r="K153" i="18"/>
  <c r="L153" i="18" s="1"/>
  <c r="Q153" i="18"/>
  <c r="Y153" i="18" s="1"/>
  <c r="M161" i="18"/>
  <c r="M169" i="18"/>
  <c r="M170" i="18"/>
  <c r="M174" i="18"/>
  <c r="M194" i="18"/>
  <c r="L203" i="18"/>
  <c r="Y203" i="18"/>
  <c r="K205" i="18"/>
  <c r="L205" i="18" s="1"/>
  <c r="M217" i="18"/>
  <c r="Y221" i="18"/>
  <c r="M227" i="18"/>
  <c r="M228" i="18" s="1"/>
  <c r="K232" i="18"/>
  <c r="K236" i="18" s="1"/>
  <c r="M232" i="18"/>
  <c r="M236" i="18" s="1"/>
  <c r="M234" i="18"/>
  <c r="K235" i="18"/>
  <c r="L235" i="18" s="1"/>
  <c r="Y242" i="18"/>
  <c r="M26" i="18"/>
  <c r="M27" i="18"/>
  <c r="N35" i="18"/>
  <c r="N47" i="18"/>
  <c r="P47" i="18" s="1"/>
  <c r="Y47" i="18" s="1"/>
  <c r="P54" i="18"/>
  <c r="L55" i="18"/>
  <c r="Y55" i="18"/>
  <c r="V91" i="18"/>
  <c r="W91" i="18" s="1"/>
  <c r="L90" i="18"/>
  <c r="K101" i="18"/>
  <c r="K102" i="18" s="1"/>
  <c r="N101" i="18"/>
  <c r="M108" i="18"/>
  <c r="M113" i="18"/>
  <c r="K138" i="18"/>
  <c r="L138" i="18" s="1"/>
  <c r="N138" i="18"/>
  <c r="Q138" i="18"/>
  <c r="N139" i="18"/>
  <c r="P139" i="18" s="1"/>
  <c r="Y139" i="18" s="1"/>
  <c r="N145" i="18"/>
  <c r="M153" i="18"/>
  <c r="N155" i="18"/>
  <c r="P155" i="18" s="1"/>
  <c r="V155" i="18" s="1"/>
  <c r="K161" i="18"/>
  <c r="L161" i="18" s="1"/>
  <c r="N161" i="18"/>
  <c r="P161" i="18" s="1"/>
  <c r="K169" i="18"/>
  <c r="L169" i="18" s="1"/>
  <c r="Q169" i="18"/>
  <c r="K170" i="18"/>
  <c r="L170" i="18" s="1"/>
  <c r="K174" i="18"/>
  <c r="L185" i="18"/>
  <c r="K194" i="18"/>
  <c r="L194" i="18" s="1"/>
  <c r="N194" i="18"/>
  <c r="P194" i="18" s="1"/>
  <c r="M197" i="18"/>
  <c r="M205" i="18"/>
  <c r="M289" i="18"/>
  <c r="Q240" i="18"/>
  <c r="K240" i="18"/>
  <c r="L240" i="18" s="1"/>
  <c r="Q289" i="18"/>
  <c r="K289" i="18"/>
  <c r="L289" i="18" s="1"/>
  <c r="M215" i="18"/>
  <c r="K217" i="18"/>
  <c r="L217" i="18" s="1"/>
  <c r="N217" i="18"/>
  <c r="P217" i="18" s="1"/>
  <c r="Y217" i="18" s="1"/>
  <c r="K227" i="18"/>
  <c r="K228" i="18" s="1"/>
  <c r="N227" i="18"/>
  <c r="Q227" i="18"/>
  <c r="Q228" i="18" s="1"/>
  <c r="N232" i="18"/>
  <c r="Q232" i="18"/>
  <c r="Q236" i="18" s="1"/>
  <c r="K234" i="18"/>
  <c r="L234" i="18" s="1"/>
  <c r="N234" i="18"/>
  <c r="P234" i="18" s="1"/>
  <c r="Y234" i="18" s="1"/>
  <c r="N235" i="18"/>
  <c r="Y235" i="18" s="1"/>
  <c r="Q254" i="18"/>
  <c r="V254" i="18" s="1"/>
  <c r="Q248" i="18"/>
  <c r="K251" i="18"/>
  <c r="L251" i="18" s="1"/>
  <c r="M250" i="18"/>
  <c r="N249" i="18"/>
  <c r="P249" i="18" s="1"/>
  <c r="V249" i="18" s="1"/>
  <c r="K250" i="18"/>
  <c r="L250" i="18" s="1"/>
  <c r="Y317" i="18"/>
  <c r="V317" i="18"/>
  <c r="Z334" i="18"/>
  <c r="W334" i="18"/>
  <c r="M271" i="18"/>
  <c r="M272" i="18"/>
  <c r="M302" i="18"/>
  <c r="N327" i="18"/>
  <c r="P327" i="18" s="1"/>
  <c r="V327" i="18" s="1"/>
  <c r="Y334" i="18"/>
  <c r="N341" i="18"/>
  <c r="P341" i="18" s="1"/>
  <c r="Y341" i="18" s="1"/>
  <c r="M262" i="18"/>
  <c r="K271" i="18"/>
  <c r="L271" i="18" s="1"/>
  <c r="K272" i="18"/>
  <c r="L272" i="18" s="1"/>
  <c r="T279" i="18"/>
  <c r="T403" i="18" s="1"/>
  <c r="K356" i="18"/>
  <c r="L356" i="18" s="1"/>
  <c r="M356" i="18"/>
  <c r="M284" i="18"/>
  <c r="M286" i="18" s="1"/>
  <c r="K285" i="18"/>
  <c r="L285" i="18" s="1"/>
  <c r="L286" i="18" s="1"/>
  <c r="K302" i="18"/>
  <c r="L302" i="18" s="1"/>
  <c r="N302" i="18"/>
  <c r="P302" i="18" s="1"/>
  <c r="V302" i="18" s="1"/>
  <c r="K323" i="18"/>
  <c r="K329" i="18" s="1"/>
  <c r="N323" i="18"/>
  <c r="Q323" i="18"/>
  <c r="Q329" i="18" s="1"/>
  <c r="N326" i="18"/>
  <c r="P326" i="18" s="1"/>
  <c r="V326" i="18" s="1"/>
  <c r="Q333" i="18"/>
  <c r="Q336" i="18" s="1"/>
  <c r="N333" i="18"/>
  <c r="K333" i="18"/>
  <c r="K336" i="18" s="1"/>
  <c r="N335" i="18"/>
  <c r="P335" i="18" s="1"/>
  <c r="V335" i="18" s="1"/>
  <c r="N343" i="18"/>
  <c r="P343" i="18" s="1"/>
  <c r="Y49" i="18" s="1"/>
  <c r="Y357" i="18"/>
  <c r="V357" i="18"/>
  <c r="N340" i="18"/>
  <c r="L342" i="18"/>
  <c r="Y342" i="18"/>
  <c r="V344" i="18"/>
  <c r="Z344" i="18" s="1"/>
  <c r="K351" i="18"/>
  <c r="L351" i="18" s="1"/>
  <c r="P356" i="18"/>
  <c r="V356" i="18" s="1"/>
  <c r="N358" i="18"/>
  <c r="P358" i="18" s="1"/>
  <c r="Q358" i="18"/>
  <c r="L359" i="18"/>
  <c r="Q359" i="18"/>
  <c r="Y359" i="18" s="1"/>
  <c r="K361" i="18"/>
  <c r="L361" i="18" s="1"/>
  <c r="N361" i="18"/>
  <c r="P361" i="18" s="1"/>
  <c r="Y361" i="18" s="1"/>
  <c r="Q367" i="18"/>
  <c r="Q368" i="18"/>
  <c r="V78" i="18"/>
  <c r="V385" i="18"/>
  <c r="Z385" i="18" s="1"/>
  <c r="V377" i="18"/>
  <c r="V380" i="18"/>
  <c r="Z380" i="18" s="1"/>
  <c r="V389" i="18"/>
  <c r="Z389" i="18" s="1"/>
  <c r="V393" i="18"/>
  <c r="Z393" i="18" s="1"/>
  <c r="V395" i="18"/>
  <c r="Z395" i="18" s="1"/>
  <c r="V398" i="18"/>
  <c r="Z398" i="18" s="1"/>
  <c r="M24" i="18"/>
  <c r="Q24" i="18"/>
  <c r="V27" i="18"/>
  <c r="Z27" i="18" s="1"/>
  <c r="Y27" i="18"/>
  <c r="M10" i="18"/>
  <c r="M12" i="18"/>
  <c r="M14" i="18"/>
  <c r="M16" i="18"/>
  <c r="K24" i="18"/>
  <c r="L24" i="18" s="1"/>
  <c r="O24" i="18"/>
  <c r="O30" i="18" s="1"/>
  <c r="Y25" i="18"/>
  <c r="Y38" i="18"/>
  <c r="K71" i="18"/>
  <c r="L71" i="18" s="1"/>
  <c r="Y161" i="18"/>
  <c r="K172" i="18"/>
  <c r="L172" i="18" s="1"/>
  <c r="M180" i="18"/>
  <c r="K182" i="18"/>
  <c r="L182" i="18" s="1"/>
  <c r="Q182" i="18"/>
  <c r="K183" i="18"/>
  <c r="L183" i="18" s="1"/>
  <c r="K184" i="18"/>
  <c r="L184" i="18" s="1"/>
  <c r="M188" i="18"/>
  <c r="Y197" i="18"/>
  <c r="M207" i="18"/>
  <c r="Q208" i="18"/>
  <c r="K209" i="18"/>
  <c r="O209" i="18"/>
  <c r="K254" i="18"/>
  <c r="L254" i="18" s="1"/>
  <c r="K258" i="18"/>
  <c r="M260" i="18"/>
  <c r="Q261" i="18"/>
  <c r="K262" i="18"/>
  <c r="L262" i="18" s="1"/>
  <c r="K264" i="18"/>
  <c r="L264" i="18" s="1"/>
  <c r="K266" i="18"/>
  <c r="L266" i="18" s="1"/>
  <c r="K270" i="18"/>
  <c r="M290" i="18"/>
  <c r="K291" i="18"/>
  <c r="L291" i="18" s="1"/>
  <c r="M293" i="18"/>
  <c r="Q294" i="18"/>
  <c r="K303" i="18"/>
  <c r="L303" i="18" s="1"/>
  <c r="M305" i="18"/>
  <c r="K310" i="18"/>
  <c r="L310" i="18" s="1"/>
  <c r="K312" i="18"/>
  <c r="K314" i="18"/>
  <c r="L314" i="18" s="1"/>
  <c r="W324" i="18"/>
  <c r="M352" i="18"/>
  <c r="Q41" i="18"/>
  <c r="Y36" i="18"/>
  <c r="O73" i="18"/>
  <c r="K79" i="18"/>
  <c r="L107" i="18"/>
  <c r="L109" i="18" s="1"/>
  <c r="V161" i="18"/>
  <c r="Z161" i="18" s="1"/>
  <c r="M172" i="18"/>
  <c r="M182" i="18"/>
  <c r="M183" i="18"/>
  <c r="M184" i="18"/>
  <c r="Q186" i="18"/>
  <c r="Y186" i="18" s="1"/>
  <c r="M209" i="18"/>
  <c r="M254" i="18"/>
  <c r="M258" i="18"/>
  <c r="M264" i="18"/>
  <c r="M266" i="18"/>
  <c r="M270" i="18"/>
  <c r="M291" i="18"/>
  <c r="Q292" i="18"/>
  <c r="K293" i="18"/>
  <c r="L293" i="18" s="1"/>
  <c r="M303" i="18"/>
  <c r="Q304" i="18"/>
  <c r="Y304" i="18" s="1"/>
  <c r="M310" i="18"/>
  <c r="M312" i="18"/>
  <c r="M314" i="18"/>
  <c r="Y118" i="18"/>
  <c r="V118" i="18"/>
  <c r="N9" i="18"/>
  <c r="Q11" i="18"/>
  <c r="Q13" i="18"/>
  <c r="Y13" i="18" s="1"/>
  <c r="Q15" i="18"/>
  <c r="Y15" i="18" s="1"/>
  <c r="L8" i="18"/>
  <c r="K9" i="18"/>
  <c r="L9" i="18" s="1"/>
  <c r="M9" i="18"/>
  <c r="L10" i="18"/>
  <c r="N10" i="18"/>
  <c r="P10" i="18" s="1"/>
  <c r="V10" i="18" s="1"/>
  <c r="K11" i="18"/>
  <c r="L11" i="18" s="1"/>
  <c r="M11" i="18"/>
  <c r="V11" i="18"/>
  <c r="N12" i="18"/>
  <c r="P12" i="18" s="1"/>
  <c r="V12" i="18" s="1"/>
  <c r="K13" i="18"/>
  <c r="L13" i="18" s="1"/>
  <c r="M13" i="18"/>
  <c r="L14" i="18"/>
  <c r="N14" i="18"/>
  <c r="P14" i="18" s="1"/>
  <c r="V14" i="18" s="1"/>
  <c r="K15" i="18"/>
  <c r="L15" i="18" s="1"/>
  <c r="M15" i="18"/>
  <c r="N16" i="18"/>
  <c r="P16" i="18" s="1"/>
  <c r="V16" i="18" s="1"/>
  <c r="N24" i="18"/>
  <c r="P24" i="18"/>
  <c r="K28" i="18"/>
  <c r="M28" i="18"/>
  <c r="V233" i="18"/>
  <c r="Z233" i="18" s="1"/>
  <c r="V37" i="18"/>
  <c r="W38" i="18"/>
  <c r="K39" i="18"/>
  <c r="L39" i="18" s="1"/>
  <c r="M39" i="18"/>
  <c r="Y46" i="18"/>
  <c r="W55" i="18"/>
  <c r="Y56" i="18"/>
  <c r="N61" i="18"/>
  <c r="Q61" i="18"/>
  <c r="L66" i="18"/>
  <c r="L67" i="18"/>
  <c r="Q284" i="18"/>
  <c r="Q278" i="18"/>
  <c r="Q285" i="18"/>
  <c r="M278" i="18"/>
  <c r="M279" i="18" s="1"/>
  <c r="K278" i="18"/>
  <c r="L69" i="18"/>
  <c r="K70" i="18"/>
  <c r="L70" i="18" s="1"/>
  <c r="M70" i="18"/>
  <c r="Q71" i="18"/>
  <c r="Y71" i="18" s="1"/>
  <c r="K72" i="18"/>
  <c r="L72" i="18" s="1"/>
  <c r="M72" i="18"/>
  <c r="N114" i="18"/>
  <c r="P114" i="18" s="1"/>
  <c r="Y114" i="18" s="1"/>
  <c r="N115" i="18"/>
  <c r="P115" i="18" s="1"/>
  <c r="Y115" i="18" s="1"/>
  <c r="N116" i="18"/>
  <c r="P116" i="18" s="1"/>
  <c r="Y116" i="18" s="1"/>
  <c r="L117" i="18"/>
  <c r="N117" i="18"/>
  <c r="P117" i="18" s="1"/>
  <c r="V117" i="18" s="1"/>
  <c r="L125" i="18"/>
  <c r="N127" i="18"/>
  <c r="P127" i="18" s="1"/>
  <c r="Y127" i="18" s="1"/>
  <c r="N128" i="18"/>
  <c r="P128" i="18" s="1"/>
  <c r="Y128" i="18" s="1"/>
  <c r="N129" i="18"/>
  <c r="P129" i="18" s="1"/>
  <c r="Y129" i="18" s="1"/>
  <c r="N130" i="18"/>
  <c r="P130" i="18" s="1"/>
  <c r="Y130" i="18" s="1"/>
  <c r="N131" i="18"/>
  <c r="P131" i="18" s="1"/>
  <c r="Y131" i="18" s="1"/>
  <c r="K139" i="18"/>
  <c r="L139" i="18" s="1"/>
  <c r="M139" i="18"/>
  <c r="K140" i="18"/>
  <c r="L140" i="18" s="1"/>
  <c r="M140" i="18"/>
  <c r="K143" i="18"/>
  <c r="L143" i="18" s="1"/>
  <c r="M143" i="18"/>
  <c r="K154" i="18"/>
  <c r="L154" i="18" s="1"/>
  <c r="M154" i="18"/>
  <c r="K155" i="18"/>
  <c r="L155" i="18" s="1"/>
  <c r="N167" i="18"/>
  <c r="M91" i="18"/>
  <c r="M92" i="18" s="1"/>
  <c r="Y91" i="18"/>
  <c r="Y254" i="18"/>
  <c r="Y262" i="18"/>
  <c r="M198" i="18"/>
  <c r="K198" i="18"/>
  <c r="L198" i="18" s="1"/>
  <c r="M206" i="18"/>
  <c r="K206" i="18"/>
  <c r="L206" i="18" s="1"/>
  <c r="N28" i="18"/>
  <c r="P28" i="18" s="1"/>
  <c r="V28" i="18" s="1"/>
  <c r="L233" i="18"/>
  <c r="M301" i="18"/>
  <c r="K301" i="18"/>
  <c r="L301" i="18" s="1"/>
  <c r="Q301" i="18"/>
  <c r="N62" i="18"/>
  <c r="P62" i="18" s="1"/>
  <c r="V62" i="18" s="1"/>
  <c r="L63" i="18"/>
  <c r="N63" i="18" s="1"/>
  <c r="L64" i="18"/>
  <c r="N66" i="18"/>
  <c r="P66" i="18" s="1"/>
  <c r="Y66" i="18" s="1"/>
  <c r="N67" i="18"/>
  <c r="P67" i="18" s="1"/>
  <c r="Y67" i="18" s="1"/>
  <c r="N70" i="18"/>
  <c r="P70" i="18" s="1"/>
  <c r="Y70" i="18" s="1"/>
  <c r="N72" i="18"/>
  <c r="P72" i="18" s="1"/>
  <c r="Q72" i="18"/>
  <c r="N113" i="18"/>
  <c r="K114" i="18"/>
  <c r="M114" i="18"/>
  <c r="K115" i="18"/>
  <c r="L115" i="18" s="1"/>
  <c r="M115" i="18"/>
  <c r="K116" i="18"/>
  <c r="L116" i="18" s="1"/>
  <c r="M116" i="18"/>
  <c r="N125" i="18"/>
  <c r="K141" i="18"/>
  <c r="L141" i="18" s="1"/>
  <c r="M141" i="18"/>
  <c r="K144" i="18"/>
  <c r="L144" i="18" s="1"/>
  <c r="M144" i="18"/>
  <c r="K145" i="18"/>
  <c r="L145" i="18" s="1"/>
  <c r="M145" i="18"/>
  <c r="K91" i="18"/>
  <c r="K92" i="18" s="1"/>
  <c r="N169" i="18"/>
  <c r="P169" i="18" s="1"/>
  <c r="V169" i="18" s="1"/>
  <c r="M171" i="18"/>
  <c r="K171" i="18"/>
  <c r="L171" i="18" s="1"/>
  <c r="Q170" i="18"/>
  <c r="Y170" i="18" s="1"/>
  <c r="N171" i="18"/>
  <c r="P171" i="18" s="1"/>
  <c r="V171" i="18" s="1"/>
  <c r="M173" i="18"/>
  <c r="K173" i="18"/>
  <c r="L173" i="18" s="1"/>
  <c r="N173" i="18"/>
  <c r="P173" i="18" s="1"/>
  <c r="V173" i="18" s="1"/>
  <c r="M175" i="18"/>
  <c r="K175" i="18"/>
  <c r="L175" i="18" s="1"/>
  <c r="N175" i="18"/>
  <c r="P175" i="18" s="1"/>
  <c r="Y175" i="18" s="1"/>
  <c r="N181" i="18"/>
  <c r="Q181" i="18"/>
  <c r="V181" i="18" s="1"/>
  <c r="M181" i="18"/>
  <c r="K181" i="18"/>
  <c r="L181" i="18" s="1"/>
  <c r="Y220" i="18"/>
  <c r="V197" i="18"/>
  <c r="N199" i="18"/>
  <c r="P199" i="18" s="1"/>
  <c r="Q199" i="18"/>
  <c r="K200" i="18"/>
  <c r="L200" i="18" s="1"/>
  <c r="M200" i="18"/>
  <c r="Q201" i="18"/>
  <c r="K202" i="18"/>
  <c r="L202" i="18" s="1"/>
  <c r="M202" i="18"/>
  <c r="N208" i="18"/>
  <c r="P208" i="18" s="1"/>
  <c r="Y208" i="18" s="1"/>
  <c r="K220" i="18"/>
  <c r="L220" i="18" s="1"/>
  <c r="M220" i="18"/>
  <c r="Y246" i="18"/>
  <c r="N248" i="18"/>
  <c r="P248" i="18" s="1"/>
  <c r="Y248" i="18" s="1"/>
  <c r="Q251" i="18"/>
  <c r="N255" i="18"/>
  <c r="P255" i="18" s="1"/>
  <c r="V255" i="18" s="1"/>
  <c r="N256" i="18"/>
  <c r="P256" i="18" s="1"/>
  <c r="V256" i="18" s="1"/>
  <c r="M257" i="18"/>
  <c r="K257" i="18"/>
  <c r="L257" i="18" s="1"/>
  <c r="N257" i="18"/>
  <c r="P257" i="18" s="1"/>
  <c r="N259" i="18"/>
  <c r="P259" i="18" s="1"/>
  <c r="V259" i="18" s="1"/>
  <c r="N261" i="18"/>
  <c r="P261" i="18" s="1"/>
  <c r="V261" i="18" s="1"/>
  <c r="Q272" i="18"/>
  <c r="Y272" i="18" s="1"/>
  <c r="Q270" i="18"/>
  <c r="Y270" i="18" s="1"/>
  <c r="Q267" i="18"/>
  <c r="Q266" i="18"/>
  <c r="Y266" i="18" s="1"/>
  <c r="Q264" i="18"/>
  <c r="M263" i="18"/>
  <c r="K263" i="18"/>
  <c r="L263" i="18" s="1"/>
  <c r="Q273" i="18"/>
  <c r="Y273" i="18" s="1"/>
  <c r="Q271" i="18"/>
  <c r="Y271" i="18" s="1"/>
  <c r="Q269" i="18"/>
  <c r="Q265" i="18"/>
  <c r="N263" i="18"/>
  <c r="P263" i="18" s="1"/>
  <c r="N265" i="18"/>
  <c r="P265" i="18" s="1"/>
  <c r="V265" i="18" s="1"/>
  <c r="V273" i="18"/>
  <c r="N172" i="18"/>
  <c r="P172" i="18" s="1"/>
  <c r="V172" i="18" s="1"/>
  <c r="L174" i="18"/>
  <c r="N174" i="18"/>
  <c r="P174" i="18" s="1"/>
  <c r="V174" i="18" s="1"/>
  <c r="N180" i="18"/>
  <c r="N182" i="18"/>
  <c r="V182" i="18"/>
  <c r="Y182" i="18"/>
  <c r="Q183" i="18"/>
  <c r="Y183" i="18" s="1"/>
  <c r="Q184" i="18"/>
  <c r="Y184" i="18" s="1"/>
  <c r="Q185" i="18"/>
  <c r="Y185" i="18" s="1"/>
  <c r="Q188" i="18"/>
  <c r="Y188" i="18" s="1"/>
  <c r="K199" i="18"/>
  <c r="M199" i="18"/>
  <c r="Q200" i="18"/>
  <c r="K201" i="18"/>
  <c r="L201" i="18" s="1"/>
  <c r="M201" i="18"/>
  <c r="Q202" i="18"/>
  <c r="V203" i="18"/>
  <c r="N205" i="18"/>
  <c r="P205" i="18" s="1"/>
  <c r="Y205" i="18" s="1"/>
  <c r="N206" i="18"/>
  <c r="P206" i="18" s="1"/>
  <c r="V206" i="18" s="1"/>
  <c r="N207" i="18"/>
  <c r="P207" i="18" s="1"/>
  <c r="Q207" i="18"/>
  <c r="K208" i="18"/>
  <c r="L208" i="18" s="1"/>
  <c r="O368" i="18"/>
  <c r="M368" i="18"/>
  <c r="K368" i="18"/>
  <c r="L368" i="18" s="1"/>
  <c r="O367" i="18"/>
  <c r="M367" i="18"/>
  <c r="K367" i="18"/>
  <c r="O300" i="18"/>
  <c r="O318" i="18" s="1"/>
  <c r="M300" i="18"/>
  <c r="K300" i="18"/>
  <c r="L209" i="18"/>
  <c r="K216" i="18"/>
  <c r="L216" i="18" s="1"/>
  <c r="M216" i="18"/>
  <c r="O216" i="18"/>
  <c r="N240" i="18"/>
  <c r="Y247" i="18"/>
  <c r="K248" i="18"/>
  <c r="L248" i="18" s="1"/>
  <c r="M248" i="18"/>
  <c r="V248" i="18"/>
  <c r="Q250" i="18"/>
  <c r="K253" i="18"/>
  <c r="L253" i="18" s="1"/>
  <c r="M253" i="18"/>
  <c r="O253" i="18"/>
  <c r="K255" i="18"/>
  <c r="L255" i="18" s="1"/>
  <c r="K256" i="18"/>
  <c r="L256" i="18" s="1"/>
  <c r="M256" i="18"/>
  <c r="Q257" i="18"/>
  <c r="Q263" i="18"/>
  <c r="N269" i="18"/>
  <c r="P269" i="18" s="1"/>
  <c r="K286" i="18"/>
  <c r="N290" i="18"/>
  <c r="P290" i="18" s="1"/>
  <c r="Q290" i="18"/>
  <c r="N292" i="18"/>
  <c r="P292" i="18" s="1"/>
  <c r="N294" i="18"/>
  <c r="P294" i="18" s="1"/>
  <c r="M317" i="18"/>
  <c r="K317" i="18"/>
  <c r="L317" i="18" s="1"/>
  <c r="N306" i="18"/>
  <c r="P306" i="18" s="1"/>
  <c r="L258" i="18"/>
  <c r="N258" i="18"/>
  <c r="P258" i="18" s="1"/>
  <c r="V258" i="18" s="1"/>
  <c r="N260" i="18"/>
  <c r="P260" i="18" s="1"/>
  <c r="Q260" i="18"/>
  <c r="K261" i="18"/>
  <c r="L261" i="18" s="1"/>
  <c r="M261" i="18"/>
  <c r="N264" i="18"/>
  <c r="P264" i="18" s="1"/>
  <c r="K265" i="18"/>
  <c r="L265" i="18" s="1"/>
  <c r="M265" i="18"/>
  <c r="K267" i="18"/>
  <c r="L267" i="18" s="1"/>
  <c r="M267" i="18"/>
  <c r="K269" i="18"/>
  <c r="L269" i="18" s="1"/>
  <c r="M269" i="18"/>
  <c r="L270" i="18"/>
  <c r="N289" i="18"/>
  <c r="N291" i="18"/>
  <c r="P291" i="18" s="1"/>
  <c r="Q291" i="18"/>
  <c r="K292" i="18"/>
  <c r="M292" i="18"/>
  <c r="Q293" i="18"/>
  <c r="Y293" i="18" s="1"/>
  <c r="K294" i="18"/>
  <c r="L294" i="18" s="1"/>
  <c r="N303" i="18"/>
  <c r="P303" i="18" s="1"/>
  <c r="Q303" i="18"/>
  <c r="K304" i="18"/>
  <c r="L304" i="18" s="1"/>
  <c r="M304" i="18"/>
  <c r="Q305" i="18"/>
  <c r="K306" i="18"/>
  <c r="L306" i="18" s="1"/>
  <c r="M306" i="18"/>
  <c r="Q306" i="18"/>
  <c r="Y309" i="18"/>
  <c r="N307" i="18"/>
  <c r="P307" i="18" s="1"/>
  <c r="Y307" i="18" s="1"/>
  <c r="N310" i="18"/>
  <c r="P310" i="18" s="1"/>
  <c r="V310" i="18" s="1"/>
  <c r="K311" i="18"/>
  <c r="L311" i="18" s="1"/>
  <c r="M311" i="18"/>
  <c r="L312" i="18"/>
  <c r="N312" i="18"/>
  <c r="P312" i="18" s="1"/>
  <c r="V312" i="18" s="1"/>
  <c r="K313" i="18"/>
  <c r="L313" i="18" s="1"/>
  <c r="M313" i="18"/>
  <c r="N314" i="18"/>
  <c r="P314" i="18" s="1"/>
  <c r="V314" i="18" s="1"/>
  <c r="K315" i="18"/>
  <c r="L315" i="18" s="1"/>
  <c r="M315" i="18"/>
  <c r="V316" i="18"/>
  <c r="W325" i="18"/>
  <c r="V342" i="18"/>
  <c r="L352" i="18"/>
  <c r="K352" i="18"/>
  <c r="N311" i="18"/>
  <c r="P311" i="18" s="1"/>
  <c r="Y311" i="18" s="1"/>
  <c r="N313" i="18"/>
  <c r="P313" i="18" s="1"/>
  <c r="Y313" i="18" s="1"/>
  <c r="N315" i="18"/>
  <c r="P315" i="18" s="1"/>
  <c r="Y315" i="18" s="1"/>
  <c r="W344" i="18"/>
  <c r="V361" i="18"/>
  <c r="V386" i="18"/>
  <c r="V381" i="18"/>
  <c r="V388" i="18"/>
  <c r="V390" i="18"/>
  <c r="V383" i="18"/>
  <c r="W394" i="18"/>
  <c r="V382" i="18"/>
  <c r="V397" i="18"/>
  <c r="V399" i="18"/>
  <c r="Y29" i="18" l="1"/>
  <c r="V17" i="18"/>
  <c r="Y17" i="18"/>
  <c r="V359" i="18"/>
  <c r="W398" i="18"/>
  <c r="W396" i="18"/>
  <c r="W393" i="18"/>
  <c r="W380" i="18"/>
  <c r="W385" i="18"/>
  <c r="K362" i="18"/>
  <c r="L333" i="18"/>
  <c r="L336" i="18" s="1"/>
  <c r="L323" i="18"/>
  <c r="L329" i="18" s="1"/>
  <c r="O222" i="18"/>
  <c r="P63" i="18"/>
  <c r="Y63" i="18" s="1"/>
  <c r="N69" i="18"/>
  <c r="P69" i="18" s="1"/>
  <c r="V69" i="18" s="1"/>
  <c r="W69" i="18" s="1"/>
  <c r="L48" i="18"/>
  <c r="L126" i="18"/>
  <c r="N126" i="18" s="1"/>
  <c r="N132" i="18" s="1"/>
  <c r="O210" i="18"/>
  <c r="N286" i="18"/>
  <c r="M163" i="18"/>
  <c r="Q345" i="18"/>
  <c r="N195" i="18"/>
  <c r="P195" i="18" s="1"/>
  <c r="V194" i="18"/>
  <c r="W194" i="18" s="1"/>
  <c r="Z252" i="18"/>
  <c r="W252" i="18"/>
  <c r="W262" i="18"/>
  <c r="N64" i="18"/>
  <c r="P64" i="18" s="1"/>
  <c r="Y64" i="18" s="1"/>
  <c r="M41" i="18"/>
  <c r="P126" i="18"/>
  <c r="Y126" i="18" s="1"/>
  <c r="M109" i="18"/>
  <c r="W376" i="18"/>
  <c r="Z376" i="18"/>
  <c r="Y308" i="18"/>
  <c r="Z91" i="18"/>
  <c r="N160" i="18"/>
  <c r="Y26" i="18"/>
  <c r="W379" i="18"/>
  <c r="Q362" i="18"/>
  <c r="L232" i="18"/>
  <c r="L236" i="18" s="1"/>
  <c r="Y143" i="18"/>
  <c r="W374" i="18"/>
  <c r="V270" i="18"/>
  <c r="W270" i="18" s="1"/>
  <c r="N209" i="18"/>
  <c r="P209" i="18" s="1"/>
  <c r="V209" i="18" s="1"/>
  <c r="W209" i="18" s="1"/>
  <c r="V308" i="18"/>
  <c r="Q30" i="18"/>
  <c r="L340" i="18"/>
  <c r="L345" i="18" s="1"/>
  <c r="V8" i="18"/>
  <c r="P218" i="18"/>
  <c r="Y218" i="18" s="1"/>
  <c r="N241" i="18"/>
  <c r="P241" i="18" s="1"/>
  <c r="V241" i="18" s="1"/>
  <c r="W241" i="18" s="1"/>
  <c r="V304" i="18"/>
  <c r="Z304" i="18" s="1"/>
  <c r="Y194" i="18"/>
  <c r="V46" i="18"/>
  <c r="Z46" i="18" s="1"/>
  <c r="V154" i="18"/>
  <c r="Y141" i="18"/>
  <c r="Z36" i="18"/>
  <c r="V140" i="18"/>
  <c r="W140" i="18" s="1"/>
  <c r="L57" i="18"/>
  <c r="Y356" i="18"/>
  <c r="H403" i="18"/>
  <c r="V141" i="18"/>
  <c r="Z141" i="18" s="1"/>
  <c r="Q149" i="18"/>
  <c r="Y108" i="18"/>
  <c r="Y79" i="18"/>
  <c r="V187" i="18"/>
  <c r="Y187" i="18"/>
  <c r="Y140" i="18"/>
  <c r="Q50" i="18"/>
  <c r="Y233" i="18"/>
  <c r="Z356" i="18"/>
  <c r="W356" i="18"/>
  <c r="N30" i="18"/>
  <c r="K30" i="18"/>
  <c r="M30" i="18"/>
  <c r="V24" i="18"/>
  <c r="Z24" i="18" s="1"/>
  <c r="P30" i="18"/>
  <c r="Q156" i="18"/>
  <c r="V153" i="18"/>
  <c r="W153" i="18" s="1"/>
  <c r="N107" i="18"/>
  <c r="P107" i="18" s="1"/>
  <c r="P109" i="18" s="1"/>
  <c r="Z79" i="18"/>
  <c r="W79" i="18"/>
  <c r="N279" i="18"/>
  <c r="Y215" i="18"/>
  <c r="W161" i="18"/>
  <c r="W349" i="18"/>
  <c r="Z349" i="18"/>
  <c r="V26" i="18"/>
  <c r="Z26" i="18" s="1"/>
  <c r="Y294" i="18"/>
  <c r="Y256" i="18"/>
  <c r="V126" i="18"/>
  <c r="Z126" i="18" s="1"/>
  <c r="V65" i="18"/>
  <c r="Y65" i="18"/>
  <c r="P81" i="18"/>
  <c r="L79" i="18"/>
  <c r="L81" i="18" s="1"/>
  <c r="K81" i="18"/>
  <c r="Z77" i="18"/>
  <c r="V81" i="18"/>
  <c r="N81" i="18"/>
  <c r="V272" i="18"/>
  <c r="W272" i="18" s="1"/>
  <c r="V266" i="18"/>
  <c r="W266" i="18" s="1"/>
  <c r="L163" i="18"/>
  <c r="M57" i="18"/>
  <c r="V199" i="18"/>
  <c r="Z199" i="18" s="1"/>
  <c r="V13" i="18"/>
  <c r="Z13" i="18" s="1"/>
  <c r="Y306" i="18"/>
  <c r="L362" i="18"/>
  <c r="Y106" i="18"/>
  <c r="V29" i="18"/>
  <c r="Z29" i="18" s="1"/>
  <c r="V309" i="18"/>
  <c r="Z309" i="18" s="1"/>
  <c r="V215" i="18"/>
  <c r="W215" i="18" s="1"/>
  <c r="M362" i="18"/>
  <c r="M345" i="18"/>
  <c r="W254" i="18"/>
  <c r="Z254" i="18"/>
  <c r="W395" i="18"/>
  <c r="W391" i="18"/>
  <c r="W389" i="18"/>
  <c r="W387" i="18"/>
  <c r="W77" i="18"/>
  <c r="Q352" i="18"/>
  <c r="M295" i="18"/>
  <c r="V264" i="18"/>
  <c r="W264" i="18" s="1"/>
  <c r="Y292" i="18"/>
  <c r="L227" i="18"/>
  <c r="L228" i="18" s="1"/>
  <c r="Q222" i="18"/>
  <c r="M189" i="18"/>
  <c r="L28" i="18"/>
  <c r="L30" i="18" s="1"/>
  <c r="K163" i="18"/>
  <c r="M156" i="18"/>
  <c r="L101" i="18"/>
  <c r="L102" i="18" s="1"/>
  <c r="W27" i="18"/>
  <c r="Y344" i="18"/>
  <c r="V145" i="18"/>
  <c r="Z145" i="18" s="1"/>
  <c r="K57" i="18"/>
  <c r="Y358" i="18"/>
  <c r="V106" i="18"/>
  <c r="Y80" i="18"/>
  <c r="V294" i="18"/>
  <c r="Z294" i="18" s="1"/>
  <c r="V290" i="18"/>
  <c r="Z290" i="18" s="1"/>
  <c r="N253" i="18"/>
  <c r="P253" i="18" s="1"/>
  <c r="Z245" i="18"/>
  <c r="Y255" i="18"/>
  <c r="Y199" i="18"/>
  <c r="V131" i="18"/>
  <c r="Z131" i="18" s="1"/>
  <c r="V130" i="18"/>
  <c r="W130" i="18" s="1"/>
  <c r="V129" i="18"/>
  <c r="W129" i="18" s="1"/>
  <c r="V128" i="18"/>
  <c r="W128" i="18" s="1"/>
  <c r="V127" i="18"/>
  <c r="Z127" i="18" s="1"/>
  <c r="Y24" i="18"/>
  <c r="V235" i="18"/>
  <c r="V139" i="18"/>
  <c r="W139" i="18" s="1"/>
  <c r="V47" i="18"/>
  <c r="Z47" i="18" s="1"/>
  <c r="V269" i="18"/>
  <c r="W269" i="18" s="1"/>
  <c r="Z108" i="18"/>
  <c r="W108" i="18"/>
  <c r="W26" i="18"/>
  <c r="V328" i="18"/>
  <c r="Y325" i="18"/>
  <c r="Y269" i="18"/>
  <c r="Y257" i="18"/>
  <c r="M222" i="18"/>
  <c r="V341" i="18"/>
  <c r="Z341" i="18" s="1"/>
  <c r="V234" i="18"/>
  <c r="V217" i="18"/>
  <c r="W217" i="18" s="1"/>
  <c r="Y8" i="18"/>
  <c r="N196" i="18"/>
  <c r="P196" i="18" s="1"/>
  <c r="P210" i="18" s="1"/>
  <c r="Z326" i="18"/>
  <c r="W326" i="18"/>
  <c r="Z302" i="18"/>
  <c r="W302" i="18"/>
  <c r="Z327" i="18"/>
  <c r="W327" i="18"/>
  <c r="Z155" i="18"/>
  <c r="W155" i="18"/>
  <c r="W335" i="18"/>
  <c r="Z335" i="18"/>
  <c r="Z249" i="18"/>
  <c r="W249" i="18"/>
  <c r="L222" i="18"/>
  <c r="Z168" i="18"/>
  <c r="P362" i="18"/>
  <c r="N345" i="18"/>
  <c r="P340" i="18"/>
  <c r="Z357" i="18"/>
  <c r="W357" i="18"/>
  <c r="Y343" i="18"/>
  <c r="Y335" i="18"/>
  <c r="N336" i="18"/>
  <c r="P333" i="18"/>
  <c r="N362" i="18"/>
  <c r="Y327" i="18"/>
  <c r="N236" i="18"/>
  <c r="P232" i="18"/>
  <c r="Y232" i="18" s="1"/>
  <c r="Y236" i="18" s="1"/>
  <c r="N228" i="18"/>
  <c r="Z143" i="18"/>
  <c r="W143" i="18"/>
  <c r="N102" i="18"/>
  <c r="P101" i="18"/>
  <c r="W47" i="18"/>
  <c r="Y326" i="18"/>
  <c r="N92" i="18"/>
  <c r="P90" i="18"/>
  <c r="Y90" i="18" s="1"/>
  <c r="Y92" i="18" s="1"/>
  <c r="P85" i="18"/>
  <c r="N86" i="18"/>
  <c r="Z80" i="18"/>
  <c r="W80" i="18"/>
  <c r="Y155" i="18"/>
  <c r="Y156" i="18" s="1"/>
  <c r="Z144" i="18"/>
  <c r="W144" i="18"/>
  <c r="Z154" i="18"/>
  <c r="W154" i="18"/>
  <c r="P156" i="18"/>
  <c r="V292" i="18"/>
  <c r="Z292" i="18" s="1"/>
  <c r="Y263" i="18"/>
  <c r="O369" i="18"/>
  <c r="V208" i="18"/>
  <c r="W208" i="18" s="1"/>
  <c r="Y207" i="18"/>
  <c r="Y181" i="18"/>
  <c r="V175" i="18"/>
  <c r="Z175" i="18" s="1"/>
  <c r="Y72" i="18"/>
  <c r="V67" i="18"/>
  <c r="Z67" i="18" s="1"/>
  <c r="V66" i="18"/>
  <c r="W66" i="18" s="1"/>
  <c r="V63" i="18"/>
  <c r="W63" i="18" s="1"/>
  <c r="Y62" i="18"/>
  <c r="Y28" i="18"/>
  <c r="V114" i="18"/>
  <c r="W114" i="18" s="1"/>
  <c r="V15" i="18"/>
  <c r="Z15" i="18" s="1"/>
  <c r="V358" i="18"/>
  <c r="V362" i="18" s="1"/>
  <c r="N352" i="18"/>
  <c r="Y352" i="18"/>
  <c r="Z377" i="18"/>
  <c r="W377" i="18"/>
  <c r="Z78" i="18"/>
  <c r="W78" i="18"/>
  <c r="Q369" i="18"/>
  <c r="V343" i="18"/>
  <c r="N329" i="18"/>
  <c r="P323" i="18"/>
  <c r="Y302" i="18"/>
  <c r="Z317" i="18"/>
  <c r="W317" i="18"/>
  <c r="Y249" i="18"/>
  <c r="Z243" i="18"/>
  <c r="W141" i="18"/>
  <c r="Z140" i="18"/>
  <c r="N149" i="18"/>
  <c r="P138" i="18"/>
  <c r="P57" i="18"/>
  <c r="Y54" i="18"/>
  <c r="Y57" i="18" s="1"/>
  <c r="V54" i="18"/>
  <c r="V57" i="18" s="1"/>
  <c r="N41" i="18"/>
  <c r="P35" i="18"/>
  <c r="N156" i="18"/>
  <c r="K109" i="18"/>
  <c r="Z198" i="18"/>
  <c r="W198" i="18"/>
  <c r="N57" i="18"/>
  <c r="Z39" i="18"/>
  <c r="W39" i="18"/>
  <c r="V313" i="18"/>
  <c r="W313" i="18" s="1"/>
  <c r="V306" i="18"/>
  <c r="Z306" i="18" s="1"/>
  <c r="Y310" i="18"/>
  <c r="K210" i="18"/>
  <c r="Y171" i="18"/>
  <c r="K119" i="18"/>
  <c r="M149" i="18"/>
  <c r="M73" i="18"/>
  <c r="K19" i="18"/>
  <c r="Q19" i="18"/>
  <c r="V186" i="18"/>
  <c r="V315" i="18"/>
  <c r="W315" i="18" s="1"/>
  <c r="V311" i="18"/>
  <c r="Z311" i="18" s="1"/>
  <c r="Y312" i="18"/>
  <c r="Y303" i="18"/>
  <c r="K295" i="18"/>
  <c r="V291" i="18"/>
  <c r="W291" i="18" s="1"/>
  <c r="Y260" i="18"/>
  <c r="Y290" i="18"/>
  <c r="M274" i="18"/>
  <c r="Y209" i="18"/>
  <c r="V205" i="18"/>
  <c r="Z205" i="18" s="1"/>
  <c r="M210" i="18"/>
  <c r="V271" i="18"/>
  <c r="Z271" i="18" s="1"/>
  <c r="Y259" i="18"/>
  <c r="Y169" i="18"/>
  <c r="M119" i="18"/>
  <c r="V72" i="18"/>
  <c r="W72" i="18" s="1"/>
  <c r="V116" i="18"/>
  <c r="Z116" i="18" s="1"/>
  <c r="K73" i="18"/>
  <c r="Y69" i="18"/>
  <c r="Y11" i="18"/>
  <c r="M19" i="18"/>
  <c r="Z206" i="18"/>
  <c r="W206" i="18"/>
  <c r="Z259" i="18"/>
  <c r="W259" i="18"/>
  <c r="Z181" i="18"/>
  <c r="W181" i="18"/>
  <c r="W173" i="18"/>
  <c r="Z173" i="18"/>
  <c r="W169" i="18"/>
  <c r="Z169" i="18"/>
  <c r="Z72" i="18"/>
  <c r="Z68" i="18"/>
  <c r="Z62" i="18"/>
  <c r="W62" i="18"/>
  <c r="Z117" i="18"/>
  <c r="W117" i="18"/>
  <c r="W306" i="18"/>
  <c r="Z209" i="18"/>
  <c r="Z265" i="18"/>
  <c r="W265" i="18"/>
  <c r="Z261" i="18"/>
  <c r="W261" i="18"/>
  <c r="W171" i="18"/>
  <c r="Z171" i="18"/>
  <c r="Z69" i="18"/>
  <c r="Z359" i="18"/>
  <c r="W359" i="18"/>
  <c r="Z382" i="18"/>
  <c r="W382" i="18"/>
  <c r="Z383" i="18"/>
  <c r="W383" i="18"/>
  <c r="Z384" i="18"/>
  <c r="Z388" i="18"/>
  <c r="W388" i="18"/>
  <c r="Z386" i="18"/>
  <c r="W386" i="18"/>
  <c r="Q295" i="18"/>
  <c r="Z266" i="18"/>
  <c r="Y250" i="18"/>
  <c r="V250" i="18"/>
  <c r="Z246" i="18"/>
  <c r="O274" i="18"/>
  <c r="P240" i="18"/>
  <c r="Z221" i="18"/>
  <c r="M318" i="18"/>
  <c r="K369" i="18"/>
  <c r="L367" i="18"/>
  <c r="Y202" i="18"/>
  <c r="V202" i="18"/>
  <c r="Z194" i="18"/>
  <c r="N189" i="18"/>
  <c r="P180" i="18"/>
  <c r="Z174" i="18"/>
  <c r="W174" i="18"/>
  <c r="Z172" i="18"/>
  <c r="W172" i="18"/>
  <c r="Y265" i="18"/>
  <c r="V263" i="18"/>
  <c r="Y264" i="18"/>
  <c r="Y267" i="18"/>
  <c r="V267" i="18"/>
  <c r="Y261" i="18"/>
  <c r="V257" i="18"/>
  <c r="Z256" i="18"/>
  <c r="W256" i="18"/>
  <c r="Z255" i="18"/>
  <c r="W255" i="18"/>
  <c r="K222" i="18"/>
  <c r="Y201" i="18"/>
  <c r="V201" i="18"/>
  <c r="Z197" i="18"/>
  <c r="W197" i="18"/>
  <c r="V184" i="18"/>
  <c r="Y206" i="18"/>
  <c r="V185" i="18"/>
  <c r="Z220" i="18"/>
  <c r="W220" i="18"/>
  <c r="Q189" i="18"/>
  <c r="Y173" i="18"/>
  <c r="P160" i="18"/>
  <c r="N163" i="18"/>
  <c r="P125" i="18"/>
  <c r="Z28" i="18"/>
  <c r="W28" i="18"/>
  <c r="Y195" i="18"/>
  <c r="V195" i="18"/>
  <c r="K189" i="18"/>
  <c r="N176" i="18"/>
  <c r="P167" i="18"/>
  <c r="L149" i="18"/>
  <c r="L114" i="18"/>
  <c r="L119" i="18" s="1"/>
  <c r="V70" i="18"/>
  <c r="Y278" i="18"/>
  <c r="Y279" i="18" s="1"/>
  <c r="V278" i="18"/>
  <c r="Q279" i="18"/>
  <c r="Y68" i="18"/>
  <c r="P61" i="18"/>
  <c r="Y61" i="18" s="1"/>
  <c r="Z56" i="18"/>
  <c r="L50" i="18"/>
  <c r="N48" i="18"/>
  <c r="W46" i="18"/>
  <c r="Z37" i="18"/>
  <c r="W37" i="18"/>
  <c r="Z25" i="18"/>
  <c r="W24" i="18"/>
  <c r="Z16" i="18"/>
  <c r="W16" i="18"/>
  <c r="Z14" i="18"/>
  <c r="W14" i="18"/>
  <c r="Z12" i="18"/>
  <c r="W12" i="18"/>
  <c r="Z10" i="18"/>
  <c r="W10" i="18"/>
  <c r="L19" i="18"/>
  <c r="Z8" i="18"/>
  <c r="W8" i="18"/>
  <c r="Y172" i="18"/>
  <c r="Q176" i="18"/>
  <c r="K41" i="18"/>
  <c r="Y14" i="18"/>
  <c r="Y10" i="18"/>
  <c r="K149" i="18"/>
  <c r="Z118" i="18"/>
  <c r="W118" i="18"/>
  <c r="Y117" i="18"/>
  <c r="L73" i="18"/>
  <c r="Z17" i="18"/>
  <c r="W17" i="18"/>
  <c r="Z399" i="18"/>
  <c r="W399" i="18"/>
  <c r="Z397" i="18"/>
  <c r="W397" i="18"/>
  <c r="Z390" i="18"/>
  <c r="W390" i="18"/>
  <c r="Z381" i="18"/>
  <c r="W381" i="18"/>
  <c r="W351" i="18"/>
  <c r="Z316" i="18"/>
  <c r="W316" i="18"/>
  <c r="Y305" i="18"/>
  <c r="V305" i="18"/>
  <c r="Z361" i="18"/>
  <c r="W361" i="18"/>
  <c r="Z342" i="18"/>
  <c r="W342" i="18"/>
  <c r="Z314" i="18"/>
  <c r="W314" i="18"/>
  <c r="Z312" i="18"/>
  <c r="W312" i="18"/>
  <c r="Z310" i="18"/>
  <c r="W310" i="18"/>
  <c r="V307" i="18"/>
  <c r="Y314" i="18"/>
  <c r="V303" i="18"/>
  <c r="Y291" i="18"/>
  <c r="N295" i="18"/>
  <c r="P289" i="18"/>
  <c r="V260" i="18"/>
  <c r="Z258" i="18"/>
  <c r="W258" i="18"/>
  <c r="L292" i="18"/>
  <c r="L295" i="18" s="1"/>
  <c r="Z248" i="18"/>
  <c r="W248" i="18"/>
  <c r="Y245" i="18"/>
  <c r="Q274" i="18"/>
  <c r="L274" i="18"/>
  <c r="N216" i="18"/>
  <c r="K318" i="18"/>
  <c r="L300" i="18"/>
  <c r="M369" i="18"/>
  <c r="N368" i="18"/>
  <c r="P368" i="18" s="1"/>
  <c r="V207" i="18"/>
  <c r="Z203" i="18"/>
  <c r="W203" i="18"/>
  <c r="Y200" i="18"/>
  <c r="V200" i="18"/>
  <c r="Z182" i="18"/>
  <c r="W182" i="18"/>
  <c r="L189" i="18"/>
  <c r="V293" i="18"/>
  <c r="Z273" i="18"/>
  <c r="W273" i="18"/>
  <c r="Y268" i="18"/>
  <c r="Y251" i="18"/>
  <c r="V251" i="18"/>
  <c r="K274" i="18"/>
  <c r="Q210" i="18"/>
  <c r="L199" i="18"/>
  <c r="L210" i="18" s="1"/>
  <c r="Y258" i="18"/>
  <c r="V183" i="18"/>
  <c r="L91" i="18"/>
  <c r="L176" i="18" s="1"/>
  <c r="K176" i="18"/>
  <c r="N119" i="18"/>
  <c r="P113" i="18"/>
  <c r="N109" i="18"/>
  <c r="Q318" i="18"/>
  <c r="Y301" i="18"/>
  <c r="V301" i="18"/>
  <c r="V188" i="18"/>
  <c r="M176" i="18"/>
  <c r="L156" i="18"/>
  <c r="V115" i="18"/>
  <c r="L278" i="18"/>
  <c r="L279" i="18" s="1"/>
  <c r="K279" i="18"/>
  <c r="Y285" i="18"/>
  <c r="V285" i="18"/>
  <c r="Q286" i="18"/>
  <c r="Y284" i="18"/>
  <c r="V284" i="18"/>
  <c r="Q73" i="18"/>
  <c r="L41" i="18"/>
  <c r="W233" i="18"/>
  <c r="W13" i="18"/>
  <c r="W11" i="18"/>
  <c r="Z11" i="18"/>
  <c r="N19" i="18"/>
  <c r="P9" i="18"/>
  <c r="Y174" i="18"/>
  <c r="V170" i="18"/>
  <c r="K156" i="18"/>
  <c r="V71" i="18"/>
  <c r="Y16" i="18"/>
  <c r="Y12" i="18"/>
  <c r="W29" i="18" l="1"/>
  <c r="Y81" i="18"/>
  <c r="Z270" i="18"/>
  <c r="L132" i="18"/>
  <c r="Y362" i="18"/>
  <c r="W15" i="18"/>
  <c r="W304" i="18"/>
  <c r="N73" i="18"/>
  <c r="V64" i="18"/>
  <c r="Z64" i="18" s="1"/>
  <c r="W126" i="18"/>
  <c r="Z66" i="18"/>
  <c r="Z139" i="18"/>
  <c r="Z130" i="18"/>
  <c r="W311" i="18"/>
  <c r="Z313" i="18"/>
  <c r="Z208" i="18"/>
  <c r="W199" i="18"/>
  <c r="Z63" i="18"/>
  <c r="V218" i="18"/>
  <c r="Z218" i="18" s="1"/>
  <c r="W308" i="18"/>
  <c r="Z308" i="18"/>
  <c r="Z264" i="18"/>
  <c r="O403" i="18"/>
  <c r="Q403" i="18"/>
  <c r="K403" i="18"/>
  <c r="M403" i="18"/>
  <c r="W187" i="18"/>
  <c r="Z187" i="18"/>
  <c r="Z315" i="18"/>
  <c r="Z247" i="18"/>
  <c r="W235" i="18"/>
  <c r="Z235" i="18"/>
  <c r="W234" i="18"/>
  <c r="Z234" i="18"/>
  <c r="V30" i="18"/>
  <c r="W30" i="18"/>
  <c r="Y30" i="18"/>
  <c r="W309" i="18"/>
  <c r="W294" i="18"/>
  <c r="Z128" i="18"/>
  <c r="N274" i="18"/>
  <c r="Z269" i="18"/>
  <c r="V156" i="18"/>
  <c r="W64" i="18"/>
  <c r="Z114" i="18"/>
  <c r="W290" i="18"/>
  <c r="W292" i="18"/>
  <c r="W127" i="18"/>
  <c r="Z129" i="18"/>
  <c r="W131" i="18"/>
  <c r="W67" i="18"/>
  <c r="W175" i="18"/>
  <c r="W271" i="18"/>
  <c r="Z272" i="18"/>
  <c r="W145" i="18"/>
  <c r="W116" i="18"/>
  <c r="L92" i="18"/>
  <c r="W65" i="18"/>
  <c r="Z65" i="18"/>
  <c r="W81" i="18"/>
  <c r="Z81" i="18"/>
  <c r="Z153" i="18"/>
  <c r="Z156" i="18" s="1"/>
  <c r="N210" i="18"/>
  <c r="W205" i="18"/>
  <c r="Y210" i="18"/>
  <c r="Y73" i="18"/>
  <c r="Z215" i="18"/>
  <c r="W341" i="18"/>
  <c r="Z291" i="18"/>
  <c r="Z217" i="18"/>
  <c r="W106" i="18"/>
  <c r="Z106" i="18"/>
  <c r="W156" i="18"/>
  <c r="V196" i="18"/>
  <c r="V210" i="18" s="1"/>
  <c r="Z210" i="18" s="1"/>
  <c r="Y196" i="18"/>
  <c r="Y286" i="18"/>
  <c r="Z328" i="18"/>
  <c r="W328" i="18"/>
  <c r="P41" i="18"/>
  <c r="Y35" i="18"/>
  <c r="Y41" i="18" s="1"/>
  <c r="V35" i="18"/>
  <c r="Z54" i="18"/>
  <c r="Z57" i="18" s="1"/>
  <c r="W54" i="18"/>
  <c r="W57" i="18" s="1"/>
  <c r="P329" i="18"/>
  <c r="V323" i="18"/>
  <c r="Y323" i="18"/>
  <c r="Y329" i="18" s="1"/>
  <c r="W343" i="18"/>
  <c r="Z343" i="18"/>
  <c r="Z49" i="18"/>
  <c r="P92" i="18"/>
  <c r="V90" i="18"/>
  <c r="P149" i="18"/>
  <c r="V138" i="18"/>
  <c r="V149" i="18" s="1"/>
  <c r="Y138" i="18"/>
  <c r="Y149" i="18" s="1"/>
  <c r="P352" i="18"/>
  <c r="Z358" i="18"/>
  <c r="Z362" i="18" s="1"/>
  <c r="W358" i="18"/>
  <c r="W362" i="18" s="1"/>
  <c r="P86" i="18"/>
  <c r="V85" i="18"/>
  <c r="Y85" i="18"/>
  <c r="Y86" i="18" s="1"/>
  <c r="P102" i="18"/>
  <c r="V101" i="18"/>
  <c r="Y101" i="18"/>
  <c r="Y102" i="18" s="1"/>
  <c r="P228" i="18"/>
  <c r="V227" i="18"/>
  <c r="Y227" i="18"/>
  <c r="Y228" i="18" s="1"/>
  <c r="P236" i="18"/>
  <c r="V232" i="18"/>
  <c r="P336" i="18"/>
  <c r="V333" i="18"/>
  <c r="Y333" i="18"/>
  <c r="Y336" i="18" s="1"/>
  <c r="P345" i="18"/>
  <c r="V340" i="18"/>
  <c r="Y340" i="18"/>
  <c r="Y345" i="18" s="1"/>
  <c r="Z186" i="18"/>
  <c r="W186" i="18"/>
  <c r="Z285" i="18"/>
  <c r="W285" i="18"/>
  <c r="Z301" i="18"/>
  <c r="W301" i="18"/>
  <c r="Z251" i="18"/>
  <c r="W251" i="18"/>
  <c r="Z268" i="18"/>
  <c r="Z293" i="18"/>
  <c r="W293" i="18"/>
  <c r="Z200" i="18"/>
  <c r="W200" i="18"/>
  <c r="Z207" i="18"/>
  <c r="W207" i="18"/>
  <c r="N222" i="18"/>
  <c r="P216" i="18"/>
  <c r="Z260" i="18"/>
  <c r="W260" i="18"/>
  <c r="Z303" i="18"/>
  <c r="W303" i="18"/>
  <c r="W307" i="18"/>
  <c r="Z307" i="18"/>
  <c r="N50" i="18"/>
  <c r="P48" i="18"/>
  <c r="V61" i="18"/>
  <c r="P73" i="18"/>
  <c r="P176" i="18"/>
  <c r="Y167" i="18"/>
  <c r="Y176" i="18" s="1"/>
  <c r="V167" i="18"/>
  <c r="Y160" i="18"/>
  <c r="Y163" i="18" s="1"/>
  <c r="V160" i="18"/>
  <c r="P163" i="18"/>
  <c r="Z184" i="18"/>
  <c r="W184" i="18"/>
  <c r="Z257" i="18"/>
  <c r="W257" i="18"/>
  <c r="Z267" i="18"/>
  <c r="W267" i="18"/>
  <c r="Z202" i="18"/>
  <c r="W202" i="18"/>
  <c r="P274" i="18"/>
  <c r="Y240" i="18"/>
  <c r="V240" i="18"/>
  <c r="Y241" i="18"/>
  <c r="Z250" i="18"/>
  <c r="W250" i="18"/>
  <c r="Y253" i="18"/>
  <c r="V253" i="18"/>
  <c r="Z115" i="18"/>
  <c r="W115" i="18"/>
  <c r="Z188" i="18"/>
  <c r="W188" i="18"/>
  <c r="Z71" i="18"/>
  <c r="W71" i="18"/>
  <c r="Z170" i="18"/>
  <c r="W170" i="18"/>
  <c r="V9" i="18"/>
  <c r="Y9" i="18"/>
  <c r="Y19" i="18" s="1"/>
  <c r="P19" i="18"/>
  <c r="V286" i="18"/>
  <c r="Z284" i="18"/>
  <c r="W284" i="18"/>
  <c r="Y107" i="18"/>
  <c r="Y109" i="18" s="1"/>
  <c r="V107" i="18"/>
  <c r="P119" i="18"/>
  <c r="Y113" i="18"/>
  <c r="Y119" i="18" s="1"/>
  <c r="V113" i="18"/>
  <c r="Z183" i="18"/>
  <c r="W183" i="18"/>
  <c r="V368" i="18"/>
  <c r="Y368" i="18"/>
  <c r="L318" i="18"/>
  <c r="N300" i="18"/>
  <c r="P295" i="18"/>
  <c r="Y289" i="18"/>
  <c r="Y295" i="18" s="1"/>
  <c r="V289" i="18"/>
  <c r="Z305" i="18"/>
  <c r="W305" i="18"/>
  <c r="Z30" i="18"/>
  <c r="V279" i="18"/>
  <c r="Z278" i="18"/>
  <c r="Z279" i="18" s="1"/>
  <c r="W278" i="18"/>
  <c r="W279" i="18" s="1"/>
  <c r="Z70" i="18"/>
  <c r="W70" i="18"/>
  <c r="Z195" i="18"/>
  <c r="W195" i="18"/>
  <c r="P132" i="18"/>
  <c r="Y125" i="18"/>
  <c r="Y132" i="18" s="1"/>
  <c r="V125" i="18"/>
  <c r="Z185" i="18"/>
  <c r="W185" i="18"/>
  <c r="Z201" i="18"/>
  <c r="W201" i="18"/>
  <c r="Z263" i="18"/>
  <c r="W263" i="18"/>
  <c r="P189" i="18"/>
  <c r="Y189" i="18" s="1"/>
  <c r="V180" i="18"/>
  <c r="Y180" i="18"/>
  <c r="L369" i="18"/>
  <c r="N367" i="18"/>
  <c r="W218" i="18" l="1"/>
  <c r="W286" i="18"/>
  <c r="Z286" i="18"/>
  <c r="L403" i="18"/>
  <c r="Z352" i="18"/>
  <c r="V352" i="18"/>
  <c r="Z196" i="18"/>
  <c r="W196" i="18"/>
  <c r="W210" i="18" s="1"/>
  <c r="W340" i="18"/>
  <c r="W345" i="18" s="1"/>
  <c r="Z340" i="18"/>
  <c r="Z345" i="18" s="1"/>
  <c r="V345" i="18"/>
  <c r="Z227" i="18"/>
  <c r="Z228" i="18" s="1"/>
  <c r="V228" i="18"/>
  <c r="W227" i="18"/>
  <c r="W228" i="18" s="1"/>
  <c r="Z85" i="18"/>
  <c r="Z86" i="18" s="1"/>
  <c r="W85" i="18"/>
  <c r="W86" i="18" s="1"/>
  <c r="V86" i="18"/>
  <c r="W352" i="18"/>
  <c r="W138" i="18"/>
  <c r="W149" i="18" s="1"/>
  <c r="Z138" i="18"/>
  <c r="Z149" i="18" s="1"/>
  <c r="Z90" i="18"/>
  <c r="Z92" i="18" s="1"/>
  <c r="W90" i="18"/>
  <c r="W92" i="18" s="1"/>
  <c r="V92" i="18"/>
  <c r="V329" i="18"/>
  <c r="Z323" i="18"/>
  <c r="Z329" i="18" s="1"/>
  <c r="W323" i="18"/>
  <c r="W329" i="18" s="1"/>
  <c r="Z35" i="18"/>
  <c r="Z41" i="18" s="1"/>
  <c r="W35" i="18"/>
  <c r="W41" i="18" s="1"/>
  <c r="V41" i="18"/>
  <c r="V336" i="18"/>
  <c r="Z333" i="18"/>
  <c r="Z336" i="18" s="1"/>
  <c r="W333" i="18"/>
  <c r="W336" i="18" s="1"/>
  <c r="Z232" i="18"/>
  <c r="Z236" i="18" s="1"/>
  <c r="V236" i="18"/>
  <c r="W232" i="18"/>
  <c r="W236" i="18" s="1"/>
  <c r="V102" i="18"/>
  <c r="Z101" i="18"/>
  <c r="Z102" i="18" s="1"/>
  <c r="W101" i="18"/>
  <c r="W102" i="18" s="1"/>
  <c r="Z180" i="18"/>
  <c r="W180" i="18"/>
  <c r="W189" i="18" s="1"/>
  <c r="V189" i="18"/>
  <c r="Z189" i="18" s="1"/>
  <c r="V132" i="18"/>
  <c r="Z125" i="18"/>
  <c r="Z132" i="18" s="1"/>
  <c r="W125" i="18"/>
  <c r="W132" i="18" s="1"/>
  <c r="V295" i="18"/>
  <c r="Z289" i="18"/>
  <c r="Z295" i="18" s="1"/>
  <c r="W289" i="18"/>
  <c r="W295" i="18" s="1"/>
  <c r="Z368" i="18"/>
  <c r="W368" i="18"/>
  <c r="Z107" i="18"/>
  <c r="Z109" i="18" s="1"/>
  <c r="W107" i="18"/>
  <c r="W109" i="18" s="1"/>
  <c r="V109" i="18"/>
  <c r="Z9" i="18"/>
  <c r="Z19" i="18" s="1"/>
  <c r="W9" i="18"/>
  <c r="W19" i="18" s="1"/>
  <c r="V19" i="18"/>
  <c r="Y274" i="18"/>
  <c r="Z160" i="18"/>
  <c r="Z163" i="18" s="1"/>
  <c r="V163" i="18"/>
  <c r="W160" i="18"/>
  <c r="W163" i="18" s="1"/>
  <c r="V176" i="18"/>
  <c r="Z167" i="18"/>
  <c r="Z176" i="18" s="1"/>
  <c r="W167" i="18"/>
  <c r="W176" i="18" s="1"/>
  <c r="V73" i="18"/>
  <c r="Z61" i="18"/>
  <c r="Z73" i="18" s="1"/>
  <c r="W61" i="18"/>
  <c r="W73" i="18" s="1"/>
  <c r="P222" i="18"/>
  <c r="Y222" i="18" s="1"/>
  <c r="Y216" i="18"/>
  <c r="V216" i="18"/>
  <c r="N369" i="18"/>
  <c r="P367" i="18"/>
  <c r="N318" i="18"/>
  <c r="P300" i="18"/>
  <c r="V119" i="18"/>
  <c r="Z113" i="18"/>
  <c r="Z119" i="18" s="1"/>
  <c r="W113" i="18"/>
  <c r="W119" i="18" s="1"/>
  <c r="Z253" i="18"/>
  <c r="W253" i="18"/>
  <c r="Z241" i="18"/>
  <c r="V274" i="18"/>
  <c r="Z240" i="18"/>
  <c r="W240" i="18"/>
  <c r="P50" i="18"/>
  <c r="V48" i="18"/>
  <c r="Y48" i="18"/>
  <c r="Y50" i="18" s="1"/>
  <c r="N403" i="18" l="1"/>
  <c r="W274" i="18"/>
  <c r="P318" i="18"/>
  <c r="Y300" i="18"/>
  <c r="Y318" i="18" s="1"/>
  <c r="V300" i="18"/>
  <c r="P369" i="18"/>
  <c r="V367" i="18"/>
  <c r="Y367" i="18"/>
  <c r="Y369" i="18" s="1"/>
  <c r="Z48" i="18"/>
  <c r="Z50" i="18" s="1"/>
  <c r="W48" i="18"/>
  <c r="W50" i="18" s="1"/>
  <c r="V50" i="18"/>
  <c r="Z216" i="18"/>
  <c r="W216" i="18"/>
  <c r="W222" i="18" s="1"/>
  <c r="V222" i="18"/>
  <c r="Z222" i="18" s="1"/>
  <c r="Z274" i="18"/>
  <c r="P403" i="18" l="1"/>
  <c r="Y403" i="18"/>
  <c r="Z367" i="18"/>
  <c r="Z369" i="18" s="1"/>
  <c r="W367" i="18"/>
  <c r="W369" i="18" s="1"/>
  <c r="V369" i="18"/>
  <c r="V318" i="18"/>
  <c r="Z300" i="18"/>
  <c r="Z318" i="18" s="1"/>
  <c r="W300" i="18"/>
  <c r="W405" i="18" s="1"/>
  <c r="W318" i="18" l="1"/>
  <c r="W407" i="18"/>
  <c r="V400" i="18" l="1"/>
  <c r="V403" i="18" s="1"/>
  <c r="Y404" i="18" s="1"/>
  <c r="Z400" i="18"/>
  <c r="Z403" i="18" s="1"/>
  <c r="W400" i="18"/>
  <c r="W403" i="18" s="1"/>
  <c r="W409" i="18" s="1"/>
</calcChain>
</file>

<file path=xl/sharedStrings.xml><?xml version="1.0" encoding="utf-8"?>
<sst xmlns="http://schemas.openxmlformats.org/spreadsheetml/2006/main" count="1593" uniqueCount="676">
  <si>
    <t>EZEQUIEL ARAIZA VICENCIO</t>
  </si>
  <si>
    <t>JUAN MANUEL RODRIGUEZ SANTANA</t>
  </si>
  <si>
    <t>LOURDES CURIEL FREGOSO</t>
  </si>
  <si>
    <t>LUZ MARIA GORDIAN GONZALEZ</t>
  </si>
  <si>
    <t>JUAN GIRALDO SANCHEZ GOMEZ</t>
  </si>
  <si>
    <t>HECTOR PEREZ GOMEZ</t>
  </si>
  <si>
    <t>LUIS ALBERTO PEREZ OLEA</t>
  </si>
  <si>
    <t>EDGAR GOMEZ BAÑUELOS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</si>
  <si>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</si>
  <si>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</si>
  <si>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</si>
  <si>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</si>
  <si>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</si>
  <si>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</si>
  <si>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JOSE SALVADOR DURAN ALONSO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</si>
  <si>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</si>
  <si>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</si>
  <si>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</si>
  <si>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</si>
  <si>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</si>
  <si>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</si>
  <si>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</si>
  <si>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</si>
  <si>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JUAN DE DIOS VAZQUEZ ALFEREZ</t>
  </si>
  <si>
    <t>LORENZO LOPEZ LOPEZ</t>
  </si>
  <si>
    <t>IRIS ADRIANA CRUZ JOYA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</si>
  <si>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</si>
  <si>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</si>
  <si>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</si>
  <si>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</si>
  <si>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</si>
  <si>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</si>
  <si>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LAUREANO JOYA RAMOS</t>
  </si>
  <si>
    <t>FRANCISCO JAVIER CASTILLON RODRIGUEZ</t>
  </si>
  <si>
    <t>ALFREDO SOLIS</t>
  </si>
  <si>
    <t>RODRIGO BRAVO NUÑEZ</t>
  </si>
  <si>
    <t>EVER PEREZ GOMEZ</t>
  </si>
  <si>
    <t>MARCELINO ARAIZA RODRIGUEZ</t>
  </si>
  <si>
    <t>CARLOS ARAIZA GONZALEZ</t>
  </si>
  <si>
    <t>EZEQUIEL ARAIZA GONZALEZ</t>
  </si>
  <si>
    <t>MARCO ANTONIO GONZALEZ HARO</t>
  </si>
  <si>
    <t>JOSE HERMILO CRUZ SANCHEZ</t>
  </si>
  <si>
    <t>RAUL ANTONIO CARDENAS IBARRA</t>
  </si>
  <si>
    <t>LUIS SOLIS BRAVO</t>
  </si>
  <si>
    <t>JOAQUIN SOLIS MARTINEZ</t>
  </si>
  <si>
    <t>ONOFRE PLACITO GORDIAN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</si>
  <si>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</si>
  <si>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</si>
  <si>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</si>
  <si>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</si>
  <si>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</si>
  <si>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</si>
  <si>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</si>
  <si>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</si>
  <si>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HECTOR RANGEL CRUZ CRUZ</t>
  </si>
  <si>
    <t>SERGIO ALEJANDRO IBARRA DELGADO</t>
  </si>
  <si>
    <t>RODIMIRO ISORDIA ZEPEDA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</si>
  <si>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</si>
  <si>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</si>
  <si>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</si>
  <si>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</si>
  <si>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</si>
  <si>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</si>
  <si>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</si>
  <si>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</si>
  <si>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</si>
  <si>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</si>
  <si>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</si>
  <si>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</si>
  <si>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</si>
  <si>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</si>
  <si>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LUIS RAMON RODRIGUEZ X</t>
  </si>
  <si>
    <t>OTROS DESCUENTOS</t>
  </si>
  <si>
    <t>RAFAEL RIOS RAYA</t>
  </si>
  <si>
    <t>TIEMPO EXTRA</t>
  </si>
  <si>
    <t>RUBEN PLACITO JOYA</t>
  </si>
  <si>
    <t>LUIS ANTONIO  HERNANDEZ JOYA</t>
  </si>
  <si>
    <t>PAJR6103115N3</t>
  </si>
  <si>
    <t>CIMJ7202084FA</t>
  </si>
  <si>
    <t>FOCM820828EF3</t>
  </si>
  <si>
    <t>LEAS680707MV7</t>
  </si>
  <si>
    <t>LODS811102195</t>
  </si>
  <si>
    <t>GUPF6808211P3</t>
  </si>
  <si>
    <t>CALJ700725BS1</t>
  </si>
  <si>
    <t>PEGL560924MF5</t>
  </si>
  <si>
    <t>PEGH630729QQ2</t>
  </si>
  <si>
    <t>NURJ781211DW1</t>
  </si>
  <si>
    <t>SOVE540316BT6</t>
  </si>
  <si>
    <t>IARF460824D38</t>
  </si>
  <si>
    <t>VAAJ580308SH6</t>
  </si>
  <si>
    <t>LOLL661130E61</t>
  </si>
  <si>
    <t>CUJI8503098Z9</t>
  </si>
  <si>
    <t>DUAS750806LGA</t>
  </si>
  <si>
    <t>ROLU681127BK5</t>
  </si>
  <si>
    <t>GOGA660830TB6</t>
  </si>
  <si>
    <t>CAGX650729TI0</t>
  </si>
  <si>
    <t>TARC660511B93</t>
  </si>
  <si>
    <t>AAVE881010QH7</t>
  </si>
  <si>
    <t>AURM790313N23</t>
  </si>
  <si>
    <t>GOGL750630V94</t>
  </si>
  <si>
    <t>BATI910422I93</t>
  </si>
  <si>
    <t>GOAN7001111P9</t>
  </si>
  <si>
    <t>CARH820415C91</t>
  </si>
  <si>
    <t>JORL620820294</t>
  </si>
  <si>
    <t>CARF750630IF7</t>
  </si>
  <si>
    <t>SOAL550112565</t>
  </si>
  <si>
    <t>BANR570313TE6</t>
  </si>
  <si>
    <t>PEGE580930H48</t>
  </si>
  <si>
    <t>AARM501130EL0</t>
  </si>
  <si>
    <t>GAMM670107NL0</t>
  </si>
  <si>
    <t>AAGC621104CNA</t>
  </si>
  <si>
    <t>AAGE470410AE3</t>
  </si>
  <si>
    <t>CAGX740908RQ0</t>
  </si>
  <si>
    <t>GOHM7208183M1</t>
  </si>
  <si>
    <t>CUSH700718JJ0</t>
  </si>
  <si>
    <t>CAIR880714AFA</t>
  </si>
  <si>
    <t>SAGJ7608286C5</t>
  </si>
  <si>
    <t>SOBL370825NY1</t>
  </si>
  <si>
    <t>SOMJ720816CW8</t>
  </si>
  <si>
    <t>FOLL730526GS6</t>
  </si>
  <si>
    <t>JAAA7411015Q1</t>
  </si>
  <si>
    <t>GOBE800323VB2</t>
  </si>
  <si>
    <t>SERG750421T34</t>
  </si>
  <si>
    <t>PAGO6207033N4</t>
  </si>
  <si>
    <t>PAGM550207F34</t>
  </si>
  <si>
    <t>AICJ8107108C4</t>
  </si>
  <si>
    <t>ROGF611102EG8</t>
  </si>
  <si>
    <t>GOAA480803IJ5</t>
  </si>
  <si>
    <t>PAJA7103269PA</t>
  </si>
  <si>
    <t>CARO620420VF6</t>
  </si>
  <si>
    <t>CARN581010418</t>
  </si>
  <si>
    <t>IARR531122IY7</t>
  </si>
  <si>
    <t>GOFA370729MV6</t>
  </si>
  <si>
    <t>RODJ580130MS3</t>
  </si>
  <si>
    <t>BEIF801207ND7</t>
  </si>
  <si>
    <t>GUMS530627UA7</t>
  </si>
  <si>
    <t>CUCH810106M65</t>
  </si>
  <si>
    <t>IADS820121KG3</t>
  </si>
  <si>
    <t>RESL871213BA9</t>
  </si>
  <si>
    <t>IOZR490525SD5</t>
  </si>
  <si>
    <t>DIGC560310650</t>
  </si>
  <si>
    <t>ROJR6212109X0</t>
  </si>
  <si>
    <t>RIRR730429ME0</t>
  </si>
  <si>
    <t>RFC</t>
  </si>
  <si>
    <t>ROAH900807JE2</t>
  </si>
  <si>
    <t>CUGD680126BT4</t>
  </si>
  <si>
    <t>OMAR DE JESUS GARCIA</t>
  </si>
  <si>
    <t>RAMIRO JOYA JOYA</t>
  </si>
  <si>
    <t>PEOL760708VX5</t>
  </si>
  <si>
    <t>AECA630820EP6</t>
  </si>
  <si>
    <t>SIQJ7306301D7</t>
  </si>
  <si>
    <t>JOJR7106032W5</t>
  </si>
  <si>
    <t>PECM8906228H8</t>
  </si>
  <si>
    <t>JOHN ALEJANDRO ROMERO CHAVEZ</t>
  </si>
  <si>
    <t>ROCJ840411PK2</t>
  </si>
  <si>
    <t>SUELDO BRUTO</t>
  </si>
  <si>
    <t>SUELDO A PERSIBIR</t>
  </si>
  <si>
    <t>PRESTAMO PERSONAL</t>
  </si>
  <si>
    <t>JEG0820323GZ0</t>
  </si>
  <si>
    <t>JESSICA MOLINA FARIAS</t>
  </si>
  <si>
    <t>MOFJ811002R96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</si>
  <si>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</si>
  <si>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</si>
  <si>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</si>
  <si>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</si>
  <si>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</si>
  <si>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</si>
  <si>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</si>
  <si>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</si>
  <si>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</si>
  <si>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</si>
  <si>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</si>
  <si>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</si>
  <si>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</si>
  <si>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</si>
  <si>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</si>
  <si>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</si>
  <si>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</si>
  <si>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</si>
  <si>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</si>
  <si>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</si>
  <si>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</si>
  <si>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</si>
  <si>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</si>
  <si>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</si>
  <si>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</si>
  <si>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</si>
  <si>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</si>
  <si>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</si>
  <si>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</si>
  <si>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</si>
  <si>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</si>
  <si>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</si>
  <si>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</si>
  <si>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JORGE ARMANDO BAÑUELOS CASTILLON</t>
  </si>
  <si>
    <t>DANIEL DE JESUS CARDENAS GARCIA</t>
  </si>
  <si>
    <t>NATALIA ZEPEDA GONZALEZ</t>
  </si>
  <si>
    <t>TOTALES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</si>
  <si>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</si>
  <si>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</si>
  <si>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</si>
  <si>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</si>
  <si>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</si>
  <si>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SANTOS ADRIANA PIÑA BERNAL</t>
  </si>
  <si>
    <t>JESUS DANIEL VELASCO SANTANA</t>
  </si>
  <si>
    <t>ERIK MEJIA SERRANO</t>
  </si>
  <si>
    <t>RAUL VICENTE GUEVARA</t>
  </si>
  <si>
    <t>CUFL870103848</t>
  </si>
  <si>
    <t>CAGL930504</t>
  </si>
  <si>
    <t>ROSJ880512HTO</t>
  </si>
  <si>
    <t>RODC730323QC7</t>
  </si>
  <si>
    <t>ADRIANA ARACELI CARDENAS GARCIA</t>
  </si>
  <si>
    <t>YOALLI EHECATL ESCALANTE GUZMAN</t>
  </si>
  <si>
    <t>J. CARLOS RUBIO CARRILLO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</si>
  <si>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</si>
  <si>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</si>
  <si>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</si>
  <si>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</si>
  <si>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</si>
  <si>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</si>
  <si>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</si>
  <si>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TAPA890404JIS</t>
  </si>
  <si>
    <t>GOGM620621JF0</t>
  </si>
  <si>
    <t>IACE880212KK4</t>
  </si>
  <si>
    <t>BARS9104078M8</t>
  </si>
  <si>
    <t>RUCJ820729386</t>
  </si>
  <si>
    <t>ZEGN910621RY7</t>
  </si>
  <si>
    <t>SUPERVISOR DE ASEO PUBLICO</t>
  </si>
  <si>
    <t>VESJ8107057L0</t>
  </si>
  <si>
    <t>MARIO EDUARDO VILLALOBOS GORDIAN</t>
  </si>
  <si>
    <t>VIGM900301A64</t>
  </si>
  <si>
    <t>PAAI890608776</t>
  </si>
  <si>
    <t>MOGO780309UM1</t>
  </si>
  <si>
    <t>HECTOR SAUL CRUZ IBARRA</t>
  </si>
  <si>
    <t>CUIH810606254</t>
  </si>
  <si>
    <t>JORGE CHINA MATA</t>
  </si>
  <si>
    <t>ANGELA ISABEL SILVA GRIJALVA</t>
  </si>
  <si>
    <t>SIGA941210QQ3</t>
  </si>
  <si>
    <t>HEAA8012024J0</t>
  </si>
  <si>
    <t>SORL821113TW5</t>
  </si>
  <si>
    <t>VECJ710603T74</t>
  </si>
  <si>
    <t>VIGR670727AY0</t>
  </si>
  <si>
    <t>RIGOBERTO NIÑO OLIVERA</t>
  </si>
  <si>
    <t>NIOR8901109NO</t>
  </si>
  <si>
    <t>TOMAS SOTO ALVAREZ</t>
  </si>
  <si>
    <t>MARIO ALEJANDRO AGUIRRE ROMERO</t>
  </si>
  <si>
    <t>CONTRALOR</t>
  </si>
  <si>
    <t>CAGD830530KP1</t>
  </si>
  <si>
    <t>BACJ630520E46</t>
  </si>
  <si>
    <t>AAIM7205101R6</t>
  </si>
  <si>
    <t>EAGY821122E79</t>
  </si>
  <si>
    <t>HUGO OSWALDO ROBLES ARAIZA</t>
  </si>
  <si>
    <t>SILVIA SINTA JIMENEZ</t>
  </si>
  <si>
    <t>SIJS830216EH4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</si>
  <si>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</si>
  <si>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</si>
  <si>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</si>
  <si>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</si>
  <si>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</si>
  <si>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</si>
  <si>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JEFE DE COMPRAS</t>
  </si>
  <si>
    <t>OFICIAL MAYOR ADMINISTRATIVO</t>
  </si>
  <si>
    <t>INSPECTOR GANADERIA</t>
  </si>
  <si>
    <t>MEDICO MUNICIPAL</t>
  </si>
  <si>
    <t>AGENTE OPERATIVO  A</t>
  </si>
  <si>
    <t>GARA721102SS9</t>
  </si>
  <si>
    <t>RASC900217K7A</t>
  </si>
  <si>
    <t>ANTOANI  ISAEL HERNANDEZ ARAIZA</t>
  </si>
  <si>
    <t>GILBERTO DIAZ JURADO</t>
  </si>
  <si>
    <t>DIJG960417E32</t>
  </si>
  <si>
    <t>HECTOR ROMERO VILLARUEL</t>
  </si>
  <si>
    <t>ROVH800226471</t>
  </si>
  <si>
    <t>GABRIELA LORENZO GUZMAN</t>
  </si>
  <si>
    <t>LOGG901121H18</t>
  </si>
  <si>
    <t>DIRI8407159L9</t>
  </si>
  <si>
    <t>JEFE DE CATASTRO</t>
  </si>
  <si>
    <t>CINTHIA GABRIELA HERRERA RODRIGUEZ</t>
  </si>
  <si>
    <t>HERC970924P69</t>
  </si>
  <si>
    <t>TARIFAS Y TABLAS PARA SUELDOS Y SALARIOS VIGENTES A PARTIR DEL</t>
  </si>
  <si>
    <t>TABLA DEL SUBSIDIO PARA EL EMPLEO MENSUAL ENERO-DICIEMBRE 2016</t>
  </si>
  <si>
    <t>01 DE ENERO DE 2016</t>
  </si>
  <si>
    <t>Publicadas en el DOF el 05 de Enero de 2016</t>
  </si>
  <si>
    <t>MONTO DE INGRESOS QUE SIRVEN</t>
  </si>
  <si>
    <t>TARIFA DEL IMPUESTO QUINCENAL 2016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</si>
  <si>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</si>
  <si>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</si>
  <si>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</si>
  <si>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</si>
  <si>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</si>
  <si>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</si>
  <si>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</si>
  <si>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</si>
  <si>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</si>
  <si>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</si>
  <si>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</si>
  <si>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</si>
  <si>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</si>
  <si>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</si>
  <si>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</si>
  <si>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</si>
  <si>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</si>
  <si>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</si>
  <si>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</si>
  <si>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</si>
  <si>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</si>
  <si>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</si>
  <si>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BEVM730804E61</t>
  </si>
  <si>
    <t>MIGUEL BECERRA VALDEZ</t>
  </si>
  <si>
    <t>CUGS850702FV0</t>
  </si>
  <si>
    <t>DIRECTOR DE CULTURA</t>
  </si>
  <si>
    <t>LODR750322KP7</t>
  </si>
  <si>
    <t>DIRECTOR DE OBRAS PUBLICAS</t>
  </si>
  <si>
    <t>AUXILIAR DE PREV. SOCIAL DEL DELITO Y VINCULACION CIUDADANA</t>
  </si>
  <si>
    <t>DANIELA CASTILLO AVENDAÑO</t>
  </si>
  <si>
    <t>CAAD971220620</t>
  </si>
  <si>
    <t>ASISTENTE</t>
  </si>
  <si>
    <t>JOSSUE ISAAC CORONA GUDIÑO</t>
  </si>
  <si>
    <t>COGJ850421NP7</t>
  </si>
  <si>
    <t>BACS880206CB9</t>
  </si>
  <si>
    <t>EVELIA PIÑA BERNAL</t>
  </si>
  <si>
    <t>MAURA LETICIA QUINTERO ESPINOZA</t>
  </si>
  <si>
    <t>QUEM700115229</t>
  </si>
  <si>
    <t>MARGARITA ZARAGOZA PEREZ</t>
  </si>
  <si>
    <t>ZAPM951025VC3</t>
  </si>
  <si>
    <t>PIBE851209P51</t>
  </si>
  <si>
    <t>JORGE ALFREDO ROMERO  HERRERA</t>
  </si>
  <si>
    <t>ROHA890915372</t>
  </si>
  <si>
    <t>EDGAR GARCIA JOYA</t>
  </si>
  <si>
    <t>GAJE630517DE6</t>
  </si>
  <si>
    <t>JOSE NEREO CRUZ LORENZO</t>
  </si>
  <si>
    <t>CULN610625P20</t>
  </si>
  <si>
    <t>ADILENE MARIBEL GUZMAN RODRIGUEZ</t>
  </si>
  <si>
    <t>GURA8807032B4</t>
  </si>
  <si>
    <t>RAFAEL ESPARZA RUIZ</t>
  </si>
  <si>
    <t>EARR7704162S7</t>
  </si>
  <si>
    <t>IRAK DAGOBERTO DIAZ RAMOS</t>
  </si>
  <si>
    <t>BENIGNO RAMOS GUERRERO</t>
  </si>
  <si>
    <t>RAGB810213PD7</t>
  </si>
  <si>
    <t>LUIS RODRIGO NUÑEZ GOMEZ</t>
  </si>
  <si>
    <t>NUGL7510225J5</t>
  </si>
  <si>
    <t>ROAE520806HL4</t>
  </si>
  <si>
    <t>EUTIQUIO  RODRIGUEZ ANDRADE</t>
  </si>
  <si>
    <t>SECRETARIA "B"</t>
  </si>
  <si>
    <t>PRESIDENTE</t>
  </si>
  <si>
    <t>PRISCILIANO RAMIREZ GORDIAN</t>
  </si>
  <si>
    <t>RAGP831025KL7</t>
  </si>
  <si>
    <t>GABRIEL CAMPOS PEÑA</t>
  </si>
  <si>
    <t>CAPG770711MQ0</t>
  </si>
  <si>
    <t>FIDENCIO RIVAS RIVAS</t>
  </si>
  <si>
    <t>RIRF780501MX9</t>
  </si>
  <si>
    <t>KAREN ALEJANDRA VENTURA LOPEZ ARAIZA</t>
  </si>
  <si>
    <t>LOAK720702RR3</t>
  </si>
  <si>
    <t>ELENO YAMELIK ARAIZA NOYOLA</t>
  </si>
  <si>
    <t>AANE870811QN2</t>
  </si>
  <si>
    <t>MARIA GRACIELA OROZCO BELMAN</t>
  </si>
  <si>
    <t>MANUEL RAMOS CASTILLON</t>
  </si>
  <si>
    <t>MARIA LUISA GUERRA JOYA</t>
  </si>
  <si>
    <t>EVANGELINA JOYA RODRIGUEZ</t>
  </si>
  <si>
    <t>LOURDES OLIVERA MORENO</t>
  </si>
  <si>
    <t>NOE RODRIGUEZ RAMOS</t>
  </si>
  <si>
    <t>CELESTE LORENZO LORENZO</t>
  </si>
  <si>
    <t>JEFE DE JURIDICO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</si>
  <si>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</si>
  <si>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</si>
  <si>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</si>
  <si>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</si>
  <si>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</si>
  <si>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</si>
  <si>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GILDARDO JACOBO NUÑEZ</t>
  </si>
  <si>
    <t>DIRECTOR DE SERVICIOS PUBLICOS</t>
  </si>
  <si>
    <t>JEFE DE MODULO DE MAQUINARIA</t>
  </si>
  <si>
    <t>LUIS ALBERTO CARDENAS REYNOSO</t>
  </si>
  <si>
    <t>SUBDIRECTOR DE OBRAS PUBLICAS</t>
  </si>
  <si>
    <t>DIRECTOR DE PROGRAMAS ESTRATEGICOS</t>
  </si>
  <si>
    <t>KEVIN URIEL GOMEZ GORDIAN</t>
  </si>
  <si>
    <t>GOGK900818N28</t>
  </si>
  <si>
    <t>SECRETARIO PARTICULAR A</t>
  </si>
  <si>
    <t>SECRETARIO PARTICULAR B</t>
  </si>
  <si>
    <t>MODULO DE MAQUINARIA</t>
  </si>
  <si>
    <t>BESA8312142P0</t>
  </si>
  <si>
    <t>MARCOS RAMON OCAMPO QUINTERO</t>
  </si>
  <si>
    <t>OAQM8402027B4</t>
  </si>
  <si>
    <t>REGIDORES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</si>
  <si>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</si>
  <si>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</si>
  <si>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</si>
  <si>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</si>
  <si>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</si>
  <si>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</si>
  <si>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</si>
  <si>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</si>
  <si>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</si>
  <si>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</si>
  <si>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</si>
  <si>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</si>
  <si>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</si>
  <si>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</si>
  <si>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</si>
  <si>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PROGRAMAS ESTRATEGICOS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</si>
  <si>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</si>
  <si>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</si>
  <si>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</si>
  <si>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</si>
  <si>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</si>
  <si>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</si>
  <si>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</si>
  <si>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</si>
  <si>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</si>
  <si>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>CUJA881112BT8</t>
  </si>
  <si>
    <t xml:space="preserve">MANTENIMIENTO  </t>
  </si>
  <si>
    <t>BACM8008014W1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</si>
  <si>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</si>
  <si>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</si>
  <si>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</si>
  <si>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</si>
  <si>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</si>
  <si>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</si>
  <si>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</si>
  <si>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</si>
  <si>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CARL870407137</t>
  </si>
  <si>
    <t>JANG9110117B7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</si>
  <si>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</si>
  <si>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</si>
  <si>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</si>
  <si>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</si>
  <si>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</si>
  <si>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RORN600523178</t>
  </si>
  <si>
    <t>GUJL631112V43</t>
  </si>
  <si>
    <t>JORE810901V89</t>
  </si>
  <si>
    <t>OOBG830626FG6</t>
  </si>
  <si>
    <t>LOLC741125NL4</t>
  </si>
  <si>
    <t>OIML691230DPA</t>
  </si>
  <si>
    <t>LOCA741001GT4</t>
  </si>
  <si>
    <t>RACM720907IS9</t>
  </si>
  <si>
    <t>JESUS ROMERO PEREZ</t>
  </si>
  <si>
    <t>ROPJ561228</t>
  </si>
  <si>
    <t>VERONICA JOYA RODRIGUEZ</t>
  </si>
  <si>
    <t>ISMAEL GARCIA JOYA</t>
  </si>
  <si>
    <t>GAJI640214KX4</t>
  </si>
  <si>
    <t>JOSE ANGEL LORENZO CASTILLON</t>
  </si>
  <si>
    <t>ARNOLDO CAMPOS VALDOVINOS</t>
  </si>
  <si>
    <t>ENCARGADO DE LA DIRECCION DE SEGURIDAD PUBLICA</t>
  </si>
  <si>
    <t>GILBERTO RODRIGUEZ URRUTIA</t>
  </si>
  <si>
    <t>ENCARGADO DE LA UNIDAD DE REHABILITACION MUNICIPAL</t>
  </si>
  <si>
    <t>ROUG9110194V8</t>
  </si>
  <si>
    <t>AGENTE OPERATIVO A</t>
  </si>
  <si>
    <t>MUNICIPIO DE CABO CORRIENTES JALISCO</t>
  </si>
  <si>
    <t>ADMINISTRACION  2018 - 2021</t>
  </si>
  <si>
    <t>PLAZA  CON PERMISO</t>
  </si>
  <si>
    <t xml:space="preserve">ADMINISTRADOR DE RASTRO </t>
  </si>
  <si>
    <t>SECRETARO TECNICO</t>
  </si>
  <si>
    <t>CHOFER DE PRESIDENCIA</t>
  </si>
  <si>
    <t>CAJA TALPENSE</t>
  </si>
  <si>
    <t>RICARDO JULIAN MACEDO BAUMGARTEN</t>
  </si>
  <si>
    <t>MABR520201F9A</t>
  </si>
  <si>
    <t>EDSON OSVALDO CASITLLON MORA</t>
  </si>
  <si>
    <t>CAME9403016X1</t>
  </si>
  <si>
    <t>JEFE DE CONTABILIDAD</t>
  </si>
  <si>
    <t>PLAZA VACANTE</t>
  </si>
  <si>
    <t>OSCAR CASTILLON ROMERO</t>
  </si>
  <si>
    <t>CARO540923R74</t>
  </si>
  <si>
    <t>LINDA CRYSTAL ASENCIO</t>
  </si>
  <si>
    <t>AELI840512C69</t>
  </si>
  <si>
    <t>ISMAEL CASTRO ALONSO</t>
  </si>
  <si>
    <t>CAAI830709UV5</t>
  </si>
  <si>
    <t>ALEXIS IVAN RODRIGUEZ ORTEGA</t>
  </si>
  <si>
    <t>ROOA920225R38</t>
  </si>
  <si>
    <t>LUIS FERNANDO GARCIA COVARRUBIAS</t>
  </si>
  <si>
    <t>GACL850120GY8</t>
  </si>
  <si>
    <t>JESUS JOYA DAVILA</t>
  </si>
  <si>
    <t>JODJ840903BN4</t>
  </si>
  <si>
    <t>PAGO POR PENSION ALIMENTICIA</t>
  </si>
  <si>
    <t>TOTAL A DISPERSAR</t>
  </si>
  <si>
    <t>CINTHIA NAZARET AMARAL ESQUIVEL</t>
  </si>
  <si>
    <t>AAEC920112FB4</t>
  </si>
  <si>
    <t>SOGA860128IT8</t>
  </si>
  <si>
    <t>TOHE9202105V7</t>
  </si>
  <si>
    <t>FRANCISCO JAVIER LOPEZ ESPINOZA</t>
  </si>
  <si>
    <t>LOEF890927SR9</t>
  </si>
  <si>
    <t>MERCEDES GONZALEZ HERNANDEZ</t>
  </si>
  <si>
    <t>PARAMEDICO</t>
  </si>
  <si>
    <t>GOHM850316632</t>
  </si>
  <si>
    <t>JENIFFER ZAMANTHA ARAIZA CURIEL</t>
  </si>
  <si>
    <t>AACJ9102148C6</t>
  </si>
  <si>
    <t>JOSE MARIA SOLIS RODRIGUEZ</t>
  </si>
  <si>
    <t>SUB-DIRECTOR DE SERVICIOS PUBLICOS MUNICPALES</t>
  </si>
  <si>
    <t>SORM750409532</t>
  </si>
  <si>
    <t>DIRECTOR DE TURISMO</t>
  </si>
  <si>
    <t>DIRECTOR DE LA UNIDAD DE TRANSPARENCIA Y OFICIALIA DE PARTES</t>
  </si>
  <si>
    <t>SUB-DIRECTOR  DE PROTECCION CIVIL</t>
  </si>
  <si>
    <t>ALBERTO HERNANDEZ DE LA CRUZ</t>
  </si>
  <si>
    <t>HECA810224L79</t>
  </si>
  <si>
    <t>SERGIO SOTO ALVAREZ</t>
  </si>
  <si>
    <t>SOAS980719FZ8</t>
  </si>
  <si>
    <t>ALBERTO SAHADE CORTES</t>
  </si>
  <si>
    <t>ASESOR JURIDICO</t>
  </si>
  <si>
    <t>SACA760620455</t>
  </si>
  <si>
    <t>J. JESUS CASTAÑEDA PEÑA</t>
  </si>
  <si>
    <t>CAPJ4506261B1</t>
  </si>
  <si>
    <t>ROGELIO JOYA CRUZ</t>
  </si>
  <si>
    <t>JOCR921203LH4</t>
  </si>
  <si>
    <t>JAVIER FABIAN VENTURA</t>
  </si>
  <si>
    <t>FAVJ730121551</t>
  </si>
  <si>
    <t>LILLIA HAYDEE MUÑOZ BECERRA</t>
  </si>
  <si>
    <t>DIRECTORA DE CADI</t>
  </si>
  <si>
    <t>MUBL8010088P1</t>
  </si>
  <si>
    <t>CENTRO DE APRENDIZAJE Y DESARROLLO INFANTIL</t>
  </si>
  <si>
    <t>SECRETARO TECNICO DE LA COMUR</t>
  </si>
  <si>
    <t>IRIS MARIANA AMARAL HERNANDEZ</t>
  </si>
  <si>
    <t>AAHI94O428Q2A</t>
  </si>
  <si>
    <t>SUSANA DANIELA RENTERIA</t>
  </si>
  <si>
    <t>OSVALDO MARISCAL AMARAL</t>
  </si>
  <si>
    <t>MAAO990306279</t>
  </si>
  <si>
    <t>MESE9106172D8</t>
  </si>
  <si>
    <t>RESU780909AN9</t>
  </si>
  <si>
    <t>VICTOR GARCIA HERNANDEZ</t>
  </si>
  <si>
    <t>GAHV6807016A8</t>
  </si>
  <si>
    <t>ENGARGADO DEL AGUA POTABLE</t>
  </si>
  <si>
    <t>ELIAS NOE SOTO TAPIA</t>
  </si>
  <si>
    <t>JAVIER MOISES SOLIS IBARRA</t>
  </si>
  <si>
    <t>HELADIO RODRIGUEZ GONZALEZ</t>
  </si>
  <si>
    <t>ROGH800529JZ0</t>
  </si>
  <si>
    <t>SAORI BENITEZ RENTERIA</t>
  </si>
  <si>
    <t>BERS9509058EA</t>
  </si>
  <si>
    <t>SOTE810906KP2</t>
  </si>
  <si>
    <t>SOIJ811130D33</t>
  </si>
  <si>
    <t>ANA MARIA ULLOA MENDEZ</t>
  </si>
  <si>
    <t>UOMA721020T87</t>
  </si>
  <si>
    <t>ASESOR CONTABLE</t>
  </si>
  <si>
    <t xml:space="preserve"> </t>
  </si>
  <si>
    <t>LUIS DAVID VARGAS RODRIGUEZ</t>
  </si>
  <si>
    <t>ENCARGADO DEL INSTITUTO DE LA JUVENTUD</t>
  </si>
  <si>
    <t xml:space="preserve">JOSE DE JESUS DELGADO VALDEZ </t>
  </si>
  <si>
    <t>DEVJ560926CN2</t>
  </si>
  <si>
    <t>PIBS870417NA4</t>
  </si>
  <si>
    <t>VARL940901120</t>
  </si>
  <si>
    <t>ARIANA ERENDIRA BAÑUELOS GOMEZ</t>
  </si>
  <si>
    <t>BAGA880831RBA</t>
  </si>
  <si>
    <t>GILBERTO GOMEZ GORDIAN</t>
  </si>
  <si>
    <t>GOGG581005D39</t>
  </si>
  <si>
    <t>JOSE ALFREDO GALINDO VELTRAN</t>
  </si>
  <si>
    <t>GAVA001227359</t>
  </si>
  <si>
    <t>GADP960313K´5</t>
  </si>
  <si>
    <t>LUZ ADELA RODRIGUEZ CASTILLON</t>
  </si>
  <si>
    <t>ROCL9101294S4</t>
  </si>
  <si>
    <t>CINDY DANIARI GONZALEZ BETANCOURT</t>
  </si>
  <si>
    <t>GOBC920525EI6</t>
  </si>
  <si>
    <t>TOTAL DISPERSADO EN BANCO</t>
  </si>
  <si>
    <t>ROBERTO CARLOS GARCIA RODRIGUEZ</t>
  </si>
  <si>
    <t>GARR940720</t>
  </si>
  <si>
    <t>SALVADOR CHAVEZ GONZALEZ</t>
  </si>
  <si>
    <t>ENCARGADO DE AGUA POTABLE</t>
  </si>
  <si>
    <t>CAGS551117</t>
  </si>
  <si>
    <t>DIRECTOR DE INFORMATICA</t>
  </si>
  <si>
    <t>MARCO ANTONIO PEÑA GONZALEZ</t>
  </si>
  <si>
    <t>PEGM901006PD4</t>
  </si>
  <si>
    <t>JEFE DE PROGRAMAS SOCIALES</t>
  </si>
  <si>
    <t>FELICITAS MANRIQUEZ NAVA</t>
  </si>
  <si>
    <t>MANF780622965</t>
  </si>
  <si>
    <t>SECRETARIA B</t>
  </si>
  <si>
    <t>DIRECTORA DE EDUCACION</t>
  </si>
  <si>
    <t>JOSE IGNACIO AGUIRRE HERNANDEZ</t>
  </si>
  <si>
    <t>AUHI880315GZ9</t>
  </si>
  <si>
    <t>VABP971106</t>
  </si>
  <si>
    <t>SOAT870327S30</t>
  </si>
  <si>
    <t>PENSIONES Y/O JUBILACIONES</t>
  </si>
  <si>
    <t>DISEÑADOR</t>
  </si>
  <si>
    <t>INFORMATICA Y COMUNICACIÓN SOCIAL</t>
  </si>
  <si>
    <t>TOTAL EN CHEQUE</t>
  </si>
  <si>
    <t>PAGOS EN CHEQUE/ ADELANTO DE NOMINA</t>
  </si>
  <si>
    <t>GABRIEL IBARRA ROBLES</t>
  </si>
  <si>
    <t>IARG500619DJ2</t>
  </si>
  <si>
    <t>OPERADOR DE AMBULANCIA</t>
  </si>
  <si>
    <t>ENCARGADO DE BALLET TIUTL</t>
  </si>
  <si>
    <t>AUXILIAR DE BALLET TIUTL</t>
  </si>
  <si>
    <t>INSTRUCTOR DE MARIACHI</t>
  </si>
  <si>
    <t>INSTRUCTOR DE PINTURA</t>
  </si>
  <si>
    <t>INSTRUCTOR BALLET FOLCLORICO CABO CORRIENTES</t>
  </si>
  <si>
    <t>INSTRUCTOR DE BALLET FOLCLORICO YELAPA</t>
  </si>
  <si>
    <t>INSTRUCTOR ESCULTURA EN BARRO</t>
  </si>
  <si>
    <t>INSTRUCTOR ARTISTICO</t>
  </si>
  <si>
    <t>JUAN RAMON ARAIZA RIZO</t>
  </si>
  <si>
    <t>AARJ780106619</t>
  </si>
  <si>
    <t>SEGURIDAD PUBLICA</t>
  </si>
  <si>
    <t>CUENTA</t>
  </si>
  <si>
    <t>JOSE RAMIRO CASTILLON RODRIGUEZ</t>
  </si>
  <si>
    <t>SAVANNAH SANCHAY ROBLES RODRIGUEZ</t>
  </si>
  <si>
    <t>MAGDA VIANEY ESPINOSA AVILA</t>
  </si>
  <si>
    <t>SEGISMUNDO JOYA ESTRADA</t>
  </si>
  <si>
    <t>KARLA YESENIA CARDENAS AGUIRRE</t>
  </si>
  <si>
    <t>AUXILIAR ADMIINISTRATIVO</t>
  </si>
  <si>
    <t>MIGUEL ANGEL GARCIA MARISCAL</t>
  </si>
  <si>
    <t>IRVING ARTURO PEREZ CASTELLON</t>
  </si>
  <si>
    <t>HECTOR JAVIER PLACITO JOYA</t>
  </si>
  <si>
    <t>AUXILIAR DE PROTECCION CIVIL</t>
  </si>
  <si>
    <t>TOMAS CASTILLON AGUIRRE</t>
  </si>
  <si>
    <t>CARR960902UH6</t>
  </si>
  <si>
    <t>GAMM900530UN1</t>
  </si>
  <si>
    <t>JOSE CORNELIO BARAJAS GUZMAN</t>
  </si>
  <si>
    <t>EIAM820512DTA</t>
  </si>
  <si>
    <t>CAAT710804RU1</t>
  </si>
  <si>
    <t>BAGC900811CR3</t>
  </si>
  <si>
    <t>PECI940803UV7</t>
  </si>
  <si>
    <t>PAJH7304069Q3</t>
  </si>
  <si>
    <t>JOES560501L90</t>
  </si>
  <si>
    <t>RORS970623I58</t>
  </si>
  <si>
    <t>SIGJ7505065Y9</t>
  </si>
  <si>
    <t>CAAK951016T62</t>
  </si>
  <si>
    <t>PERLA PAOLA VAZQUEZ BETANCOURT</t>
  </si>
  <si>
    <t>LUIS GILDARDO REYNOZO SALGADO</t>
  </si>
  <si>
    <t>NORMAN DANIEL GONZALEZ GORDIAN</t>
  </si>
  <si>
    <t>GOGD950321F42</t>
  </si>
  <si>
    <t>ALDO PAUL OCHOA GOMEZ</t>
  </si>
  <si>
    <t>OOGA801105</t>
  </si>
  <si>
    <t>PLAZA CON PERMISO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</si>
  <si>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</si>
  <si>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</si>
  <si>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</si>
  <si>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</si>
  <si>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</si>
  <si>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</si>
  <si>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</si>
  <si>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PERSONAL CON PAGO EN CHEQUE</t>
  </si>
  <si>
    <t>RELACION DE CHEQUES</t>
  </si>
  <si>
    <t>OSCAR ALEJANDRO ALCARAZ SERNA</t>
  </si>
  <si>
    <t>AASO880930VD9</t>
  </si>
  <si>
    <t>JESUS GABRIEL MORA SOLIS</t>
  </si>
  <si>
    <t>MOSJ010711LZ9</t>
  </si>
  <si>
    <t>CUENTA PUBLICA</t>
  </si>
  <si>
    <t>JOSE DE JESUS QUINTERO GOMEZ</t>
  </si>
  <si>
    <t>MIGUEL ANGEL PANTOJA ARIAS</t>
  </si>
  <si>
    <t>JUAN ANTONIO SALCEDO PADILLA</t>
  </si>
  <si>
    <t>MANTENIMIENTO A</t>
  </si>
  <si>
    <t>JEFE DE ELECTRICISTAS</t>
  </si>
  <si>
    <t>SAPJ800922HB9</t>
  </si>
  <si>
    <t>PAAM711224K47</t>
  </si>
  <si>
    <t>QUGJ930512TN2</t>
  </si>
  <si>
    <t>OBRAS PUBLICAS Y PLANEACION Y DESARROLLO URBANO</t>
  </si>
  <si>
    <t>DESARROLLO SOCIAL Y PARTICIPACION CIUDADANA</t>
  </si>
  <si>
    <t>SUBDIRECTOR DE DESARROLLO SOCIAL Y PARTICIPACION CIUDADANA</t>
  </si>
  <si>
    <t>DIRECTOR DE DESARROLLO SOCIAL Y PARTICIPACION CIUDADANA</t>
  </si>
  <si>
    <t>CHOFER A</t>
  </si>
  <si>
    <t>AGENTE  OPERATIVO</t>
  </si>
  <si>
    <t>AERD830626AZ8</t>
  </si>
  <si>
    <t>DANIEL ALONSO ARREOLA RIOS</t>
  </si>
  <si>
    <t>JUEZ MUNICIPAL</t>
  </si>
  <si>
    <t>SECRETARIO DE ACUERDOS</t>
  </si>
  <si>
    <t>NOTIFICADOR DE JUEZ MPAL.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</si>
  <si>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</si>
  <si>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</si>
  <si>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</si>
  <si>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</si>
  <si>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</si>
  <si>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</si>
  <si>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</si>
  <si>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</si>
  <si>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JOSE LUIS ROMERO AMARAL</t>
  </si>
  <si>
    <t>ROAL500826ME5</t>
  </si>
  <si>
    <t>JEFE DE PROMOCION ECONOMICA</t>
  </si>
  <si>
    <t>ROMM820528ULA</t>
  </si>
  <si>
    <t>MIGUEL TRINIDAD RODRIGUEZ MONTERO</t>
  </si>
  <si>
    <t>DIRECTOR DE DEPORTES</t>
  </si>
  <si>
    <t>SERGIO ALEJANDRO BARBOZA ROBLES</t>
  </si>
  <si>
    <t>BARS9808122N3</t>
  </si>
  <si>
    <t>JORV721205UHA</t>
  </si>
  <si>
    <t>JOSE ADAN SOTO GONZALEZ</t>
  </si>
  <si>
    <t>EUSEBIO LUNA FLORES</t>
  </si>
  <si>
    <t>LUFE6908174U1</t>
  </si>
  <si>
    <t>CAMP740512 K11</t>
  </si>
  <si>
    <t>PERMISO TEMPORAL</t>
  </si>
  <si>
    <t>PLAZA CON PERMISO TEMPORAL</t>
  </si>
  <si>
    <t>PERIODO DEL 16 AL 30 DE SEPTIEMBRE DEL 2020</t>
  </si>
  <si>
    <t>JESUS NAVARRO CORONA</t>
  </si>
  <si>
    <t>SECRETARIA CONTABLE</t>
  </si>
  <si>
    <t>ROSA ISELA SOLIS VELASCO</t>
  </si>
  <si>
    <t>SOVR780620J94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</si>
</sst>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8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8" fillId="3" borderId="0" xfId="0" applyNumberFormat="1" applyFont="1" applyFill="1" applyBorder="1" applyAlignment="1" applyProtection="1">
      <alignment horizontal="centerContinuous"/>
    </xf>
    <xf numFmtId="0" fontId="0" fillId="3" borderId="0" xfId="0" applyNumberFormat="1" applyFill="1" applyBorder="1" applyAlignment="1" applyProtection="1"/>
    <xf numFmtId="0" fontId="9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Continuous"/>
    </xf>
    <xf numFmtId="0" fontId="8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/>
    </xf>
    <xf numFmtId="43" fontId="9" fillId="3" borderId="0" xfId="1" applyFont="1" applyFill="1" applyBorder="1" applyAlignment="1" applyProtection="1"/>
    <xf numFmtId="10" fontId="9" fillId="3" borderId="0" xfId="0" applyNumberFormat="1" applyFont="1" applyFill="1" applyBorder="1" applyAlignment="1" applyProtection="1"/>
    <xf numFmtId="2" fontId="0" fillId="3" borderId="0" xfId="0" applyNumberFormat="1" applyFill="1" applyBorder="1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43" fontId="7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3" fontId="7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3" fontId="7" fillId="0" borderId="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3" fillId="8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Alignment="1">
      <alignment horizontal="left" vertical="center"/>
    </xf>
    <xf numFmtId="0" fontId="18" fillId="4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/>
    </xf>
    <xf numFmtId="0" fontId="2" fillId="9" borderId="1" xfId="0" applyNumberFormat="1" applyFont="1" applyFill="1" applyBorder="1" applyAlignment="1">
      <alignment horizontal="left" vertical="center"/>
    </xf>
    <xf numFmtId="0" fontId="2" fillId="8" borderId="1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9" borderId="1" xfId="2" applyNumberFormat="1" applyFont="1" applyFill="1" applyBorder="1" applyAlignment="1">
      <alignment horizontal="center" vertical="center"/>
    </xf>
    <xf numFmtId="43" fontId="3" fillId="9" borderId="1" xfId="1" applyFont="1" applyFill="1" applyBorder="1" applyAlignment="1">
      <alignment horizontal="center" vertical="center"/>
    </xf>
    <xf numFmtId="43" fontId="5" fillId="9" borderId="1" xfId="1" applyFont="1" applyFill="1" applyBorder="1" applyAlignment="1">
      <alignment horizontal="center" vertical="center"/>
    </xf>
    <xf numFmtId="43" fontId="3" fillId="9" borderId="1" xfId="0" applyNumberFormat="1" applyFont="1" applyFill="1" applyBorder="1" applyAlignment="1">
      <alignment horizontal="center" vertical="center"/>
    </xf>
    <xf numFmtId="10" fontId="3" fillId="9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2" fillId="8" borderId="1" xfId="2" applyNumberFormat="1" applyFont="1" applyFill="1" applyBorder="1" applyAlignment="1">
      <alignment horizontal="center" vertical="center"/>
    </xf>
    <xf numFmtId="43" fontId="3" fillId="8" borderId="1" xfId="1" applyFont="1" applyFill="1" applyBorder="1" applyAlignment="1">
      <alignment horizontal="center" vertical="center"/>
    </xf>
    <xf numFmtId="43" fontId="5" fillId="8" borderId="1" xfId="1" applyFont="1" applyFill="1" applyBorder="1" applyAlignment="1">
      <alignment horizontal="center" vertical="center"/>
    </xf>
    <xf numFmtId="43" fontId="3" fillId="8" borderId="1" xfId="0" applyNumberFormat="1" applyFont="1" applyFill="1" applyBorder="1" applyAlignment="1">
      <alignment horizontal="center" vertical="center"/>
    </xf>
    <xf numFmtId="10" fontId="3" fillId="8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2" fontId="3" fillId="9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43" fontId="5" fillId="8" borderId="1" xfId="0" applyNumberFormat="1" applyFont="1" applyFill="1" applyBorder="1" applyAlignment="1">
      <alignment horizontal="center" vertical="center"/>
    </xf>
    <xf numFmtId="10" fontId="5" fillId="8" borderId="1" xfId="0" applyNumberFormat="1" applyFont="1" applyFill="1" applyBorder="1" applyAlignment="1">
      <alignment horizontal="center" vertical="center"/>
    </xf>
    <xf numFmtId="44" fontId="3" fillId="9" borderId="1" xfId="2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2" fillId="6" borderId="1" xfId="2" applyNumberFormat="1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3" fillId="6" borderId="1" xfId="0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3" fontId="3" fillId="8" borderId="1" xfId="1" applyFont="1" applyFill="1" applyBorder="1" applyAlignment="1">
      <alignment horizontal="center" vertical="center" wrapText="1"/>
    </xf>
    <xf numFmtId="43" fontId="3" fillId="8" borderId="1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43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3" fontId="22" fillId="0" borderId="8" xfId="0" applyNumberFormat="1" applyFont="1" applyBorder="1" applyAlignment="1">
      <alignment horizontal="center" vertical="center"/>
    </xf>
    <xf numFmtId="43" fontId="23" fillId="7" borderId="8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2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43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9" fillId="8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19" fillId="0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0" xfId="1" applyNumberFormat="1" applyFont="1" applyFill="1" applyBorder="1" applyAlignment="1">
      <alignment horizontal="left" vertical="center" wrapText="1"/>
    </xf>
    <xf numFmtId="0" fontId="3" fillId="2" borderId="0" xfId="1" applyNumberFormat="1" applyFont="1" applyFill="1" applyBorder="1" applyAlignment="1">
      <alignment horizontal="left" vertical="center"/>
    </xf>
    <xf numFmtId="0" fontId="21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4" fontId="24" fillId="0" borderId="9" xfId="0" applyNumberFormat="1" applyFont="1" applyBorder="1" applyAlignment="1">
      <alignment horizontal="right" vertical="center"/>
    </xf>
    <xf numFmtId="43" fontId="24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2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1" fontId="2" fillId="9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43" fontId="5" fillId="6" borderId="1" xfId="1" applyFont="1" applyFill="1" applyBorder="1" applyAlignment="1">
      <alignment horizontal="center" vertical="center"/>
    </xf>
    <xf numFmtId="43" fontId="5" fillId="6" borderId="1" xfId="0" applyNumberFormat="1" applyFont="1" applyFill="1" applyBorder="1" applyAlignment="1">
      <alignment horizontal="center" vertical="center"/>
    </xf>
    <xf numFmtId="10" fontId="5" fillId="6" borderId="1" xfId="0" applyNumberFormat="1" applyFont="1" applyFill="1" applyBorder="1" applyAlignment="1">
      <alignment horizontal="center" vertical="center"/>
    </xf>
    <xf numFmtId="43" fontId="0" fillId="0" borderId="1" xfId="0" applyNumberFormat="1" applyBorder="1" applyAlignment="1">
      <alignment vertical="center"/>
    </xf>
    <xf numFmtId="43" fontId="3" fillId="2" borderId="1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" fillId="7" borderId="1" xfId="2" applyNumberFormat="1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horizontal="center" vertical="center" wrapText="1"/>
    </xf>
    <xf numFmtId="43" fontId="3" fillId="7" borderId="1" xfId="0" applyNumberFormat="1" applyFont="1" applyFill="1" applyBorder="1" applyAlignment="1">
      <alignment horizontal="center" vertical="center" wrapText="1"/>
    </xf>
    <xf numFmtId="43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43" fontId="3" fillId="7" borderId="1" xfId="0" applyNumberFormat="1" applyFont="1" applyFill="1" applyBorder="1" applyAlignment="1">
      <alignment horizontal="center" vertical="center"/>
    </xf>
    <xf numFmtId="10" fontId="3" fillId="7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0" fontId="3" fillId="9" borderId="1" xfId="0" applyFont="1" applyFill="1" applyBorder="1" applyAlignment="1">
      <alignment horizontal="right" vertical="center"/>
    </xf>
    <xf numFmtId="0" fontId="2" fillId="9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3" fontId="7" fillId="0" borderId="7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 wrapText="1"/>
    </xf>
    <xf numFmtId="43" fontId="3" fillId="9" borderId="1" xfId="1" applyFont="1" applyFill="1" applyBorder="1" applyAlignment="1">
      <alignment horizontal="center" vertical="center" wrapText="1"/>
    </xf>
    <xf numFmtId="43" fontId="3" fillId="9" borderId="1" xfId="0" applyNumberFormat="1" applyFont="1" applyFill="1" applyBorder="1" applyAlignment="1">
      <alignment horizontal="center" vertical="center" wrapText="1"/>
    </xf>
    <xf numFmtId="0" fontId="6" fillId="9" borderId="1" xfId="2" applyNumberFormat="1" applyFont="1" applyFill="1" applyBorder="1" applyAlignment="1">
      <alignment horizontal="center" vertical="center"/>
    </xf>
    <xf numFmtId="0" fontId="3" fillId="7" borderId="1" xfId="2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3" fontId="23" fillId="0" borderId="4" xfId="0" applyNumberFormat="1" applyFont="1" applyBorder="1" applyAlignment="1">
      <alignment horizontal="center" vertical="center"/>
    </xf>
    <xf numFmtId="43" fontId="23" fillId="0" borderId="5" xfId="0" applyNumberFormat="1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8" fillId="2" borderId="0" xfId="0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43" fontId="25" fillId="0" borderId="2" xfId="0" applyNumberFormat="1" applyFont="1" applyBorder="1" applyAlignment="1">
      <alignment horizontal="left"/>
    </xf>
    <xf numFmtId="43" fontId="25" fillId="0" borderId="3" xfId="0" applyNumberFormat="1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4" fontId="25" fillId="0" borderId="1" xfId="0" applyNumberFormat="1" applyFont="1" applyFill="1" applyBorder="1" applyAlignment="1">
      <alignment horizontal="right"/>
    </xf>
    <xf numFmtId="43" fontId="25" fillId="0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4" fontId="25" fillId="0" borderId="2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4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43" fontId="30" fillId="0" borderId="5" xfId="0" applyNumberFormat="1" applyFont="1" applyBorder="1" applyAlignment="1">
      <alignment horizontal="right"/>
    </xf>
    <xf numFmtId="0" fontId="30" fillId="0" borderId="7" xfId="0" applyFont="1" applyBorder="1" applyAlignment="1">
      <alignment horizontal="right"/>
    </xf>
    <xf numFmtId="43" fontId="0" fillId="0" borderId="11" xfId="0" applyNumberFormat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43" fontId="25" fillId="0" borderId="1" xfId="0" applyNumberFormat="1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4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145741</xdr:rowOff>
    </xdr:from>
    <xdr:to>
      <xdr:col>2</xdr:col>
      <xdr:colOff>1308099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0" y="145741"/>
          <a:ext cx="1276349" cy="1213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28580</xdr:colOff>
      <xdr:row>0</xdr:row>
      <xdr:rowOff>121179</xdr:rowOff>
    </xdr:from>
    <xdr:to>
      <xdr:col>1</xdr:col>
      <xdr:colOff>160807</xdr:colOff>
      <xdr:row>3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0" y="121179"/>
          <a:ext cx="618002" cy="583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8"/>
  <sheetViews>
    <sheetView tabSelected="1" topLeftCell="A353" zoomScale="75" zoomScaleNormal="75" workbookViewId="0">
      <selection activeCell="B360" sqref="B360"/>
    </sheetView>
  </sheetViews>
  <sheetFormatPr baseColWidth="10" defaultRowHeight="15" x14ac:dyDescent="0.25"/>
  <cols>
    <col min="1" max="1" width="5.7109375" style="44" customWidth="1"/>
    <col min="2" max="2" width="11.5703125" style="55" customWidth="1"/>
    <col min="3" max="3" width="34.140625" style="180" customWidth="1"/>
    <col min="4" max="4" width="22.42578125" style="181" customWidth="1"/>
    <col min="5" max="5" width="15" style="219" customWidth="1"/>
    <col min="6" max="6" width="4.28515625" style="44" customWidth="1"/>
    <col min="7" max="7" width="8.28515625" style="44" customWidth="1"/>
    <col min="8" max="8" width="14.85546875" style="44" customWidth="1"/>
    <col min="9" max="9" width="15.7109375" style="44" customWidth="1"/>
    <col min="10" max="10" width="12.5703125" style="44" customWidth="1"/>
    <col min="11" max="13" width="11.85546875" style="44" hidden="1" customWidth="1"/>
    <col min="14" max="14" width="10.42578125" style="44" hidden="1" customWidth="1"/>
    <col min="15" max="15" width="12.28515625" style="44" hidden="1" customWidth="1"/>
    <col min="16" max="16" width="12.85546875" style="44" customWidth="1"/>
    <col min="17" max="17" width="11.28515625" style="44" customWidth="1"/>
    <col min="18" max="18" width="12.42578125" style="44" customWidth="1"/>
    <col min="19" max="19" width="11.85546875" style="44" customWidth="1"/>
    <col min="20" max="20" width="14.5703125" style="44" customWidth="1"/>
    <col min="21" max="21" width="12.28515625" style="44" customWidth="1"/>
    <col min="22" max="22" width="14.85546875" style="44" customWidth="1"/>
    <col min="23" max="23" width="15.42578125" style="44" customWidth="1"/>
    <col min="24" max="24" width="10.28515625" style="13" customWidth="1"/>
    <col min="25" max="25" width="15.5703125" style="13" customWidth="1"/>
    <col min="26" max="26" width="16.28515625" style="13" customWidth="1"/>
    <col min="27" max="16384" width="11.42578125" style="13"/>
  </cols>
  <sheetData>
    <row r="1" spans="1:26" ht="31.5" x14ac:dyDescent="0.25">
      <c r="A1" s="271" t="s">
        <v>446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6" ht="26.25" x14ac:dyDescent="0.25">
      <c r="A2" s="267" t="s">
        <v>447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6" ht="26.25" x14ac:dyDescent="0.25">
      <c r="A3" s="268" t="s">
        <v>615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:26" ht="23.25" x14ac:dyDescent="0.25">
      <c r="A4" s="269" t="s">
        <v>671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1:26" x14ac:dyDescent="0.25">
      <c r="A5" s="28"/>
      <c r="B5" s="48"/>
      <c r="C5" s="147"/>
      <c r="D5" s="147"/>
      <c r="E5" s="211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6" ht="21" x14ac:dyDescent="0.25">
      <c r="A6" s="270" t="s">
        <v>382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</row>
    <row r="7" spans="1:26" s="44" customFormat="1" ht="36.75" customHeight="1" x14ac:dyDescent="0.25">
      <c r="A7" s="29" t="s">
        <v>69</v>
      </c>
      <c r="B7" s="49" t="s">
        <v>584</v>
      </c>
      <c r="C7" s="46" t="s">
        <v>17</v>
      </c>
      <c r="D7" s="29" t="s">
        <v>161</v>
      </c>
      <c r="E7" s="29" t="s">
        <v>143</v>
      </c>
      <c r="F7" s="29" t="s">
        <v>27</v>
      </c>
      <c r="G7" s="29" t="s">
        <v>19</v>
      </c>
      <c r="H7" s="29" t="s">
        <v>18</v>
      </c>
      <c r="I7" s="29" t="s">
        <v>66</v>
      </c>
      <c r="J7" s="29" t="s">
        <v>74</v>
      </c>
      <c r="K7" s="47" t="s">
        <v>301</v>
      </c>
      <c r="L7" s="47" t="s">
        <v>302</v>
      </c>
      <c r="M7" s="47" t="s">
        <v>303</v>
      </c>
      <c r="N7" s="47" t="s">
        <v>304</v>
      </c>
      <c r="O7" s="29" t="s">
        <v>305</v>
      </c>
      <c r="P7" s="29" t="s">
        <v>67</v>
      </c>
      <c r="Q7" s="29" t="s">
        <v>68</v>
      </c>
      <c r="R7" s="29" t="s">
        <v>20</v>
      </c>
      <c r="S7" s="29" t="s">
        <v>452</v>
      </c>
      <c r="T7" s="29" t="s">
        <v>72</v>
      </c>
      <c r="U7" s="29" t="s">
        <v>157</v>
      </c>
      <c r="V7" s="29" t="s">
        <v>155</v>
      </c>
      <c r="W7" s="29" t="s">
        <v>156</v>
      </c>
    </row>
    <row r="8" spans="1:26" x14ac:dyDescent="0.25">
      <c r="A8" s="30">
        <v>1</v>
      </c>
      <c r="B8" s="154">
        <v>1585781208</v>
      </c>
      <c r="C8" s="148" t="s">
        <v>354</v>
      </c>
      <c r="D8" s="148" t="s">
        <v>162</v>
      </c>
      <c r="E8" s="20" t="s">
        <v>429</v>
      </c>
      <c r="F8" s="59">
        <v>15</v>
      </c>
      <c r="G8" s="60">
        <v>824.36</v>
      </c>
      <c r="H8" s="61">
        <f>F8*G8</f>
        <v>12365.4</v>
      </c>
      <c r="I8" s="33"/>
      <c r="J8" s="33"/>
      <c r="K8" s="60">
        <f>VLOOKUP($H$8,Tabisr,1)</f>
        <v>10248.01</v>
      </c>
      <c r="L8" s="61">
        <f>+H8-K8</f>
        <v>2117.3899999999994</v>
      </c>
      <c r="M8" s="62">
        <f>VLOOKUP($H$8,Tabisr,4)</f>
        <v>0.23519999999999999</v>
      </c>
      <c r="N8" s="60">
        <f>(H8-10248.01)*23.52%</f>
        <v>498.01012799999984</v>
      </c>
      <c r="O8" s="60">
        <v>1641.75</v>
      </c>
      <c r="P8" s="60">
        <f t="shared" ref="P8:P16" si="0">O8+N8</f>
        <v>2139.7601279999999</v>
      </c>
      <c r="Q8" s="60">
        <f>VLOOKUP($H$8,Tabsub,3)</f>
        <v>0</v>
      </c>
      <c r="R8" s="61"/>
      <c r="S8" s="61"/>
      <c r="T8" s="61"/>
      <c r="U8" s="61"/>
      <c r="V8" s="61">
        <f t="shared" ref="V8:V17" si="1">H8+I8+J8-P8+Q8-R8-S8-T8-U8</f>
        <v>10225.639872</v>
      </c>
      <c r="W8" s="61">
        <f t="shared" ref="W8:W17" si="2">V8-I8</f>
        <v>10225.639872</v>
      </c>
      <c r="Y8" s="14">
        <f t="shared" ref="Y8:Y17" si="3">+H8+I8+J8+Q8-P8-R8-S8-T8-U8</f>
        <v>10225.639872</v>
      </c>
      <c r="Z8" s="14">
        <f t="shared" ref="Z8:Z17" si="4">+V8-I8</f>
        <v>10225.639872</v>
      </c>
    </row>
    <row r="9" spans="1:26" x14ac:dyDescent="0.25">
      <c r="A9" s="30">
        <v>2</v>
      </c>
      <c r="B9" s="154">
        <v>1585781216</v>
      </c>
      <c r="C9" s="148" t="s">
        <v>355</v>
      </c>
      <c r="D9" s="20" t="s">
        <v>162</v>
      </c>
      <c r="E9" s="20" t="s">
        <v>433</v>
      </c>
      <c r="F9" s="59">
        <v>15</v>
      </c>
      <c r="G9" s="60">
        <v>824.36</v>
      </c>
      <c r="H9" s="61">
        <f t="shared" ref="H9:H16" si="5">F9*G9</f>
        <v>12365.4</v>
      </c>
      <c r="I9" s="33"/>
      <c r="J9" s="33"/>
      <c r="K9" s="60">
        <f>VLOOKUP($H$9,Tabisr,1)</f>
        <v>10248.01</v>
      </c>
      <c r="L9" s="61">
        <f t="shared" ref="L9:L16" si="6">+H9-K9</f>
        <v>2117.3899999999994</v>
      </c>
      <c r="M9" s="62">
        <f>VLOOKUP($H$9,Tabisr,4)</f>
        <v>0.23519999999999999</v>
      </c>
      <c r="N9" s="60">
        <f t="shared" ref="N9:N16" si="7">(H9-10248.01)*23.52%</f>
        <v>498.01012799999984</v>
      </c>
      <c r="O9" s="60">
        <v>1641.75</v>
      </c>
      <c r="P9" s="60">
        <f t="shared" si="0"/>
        <v>2139.7601279999999</v>
      </c>
      <c r="Q9" s="60">
        <f>VLOOKUP($H$9,Tabsub,3)</f>
        <v>0</v>
      </c>
      <c r="R9" s="61"/>
      <c r="S9" s="61"/>
      <c r="T9" s="61"/>
      <c r="U9" s="61"/>
      <c r="V9" s="61">
        <f t="shared" si="1"/>
        <v>10225.639872</v>
      </c>
      <c r="W9" s="61">
        <f t="shared" si="2"/>
        <v>10225.639872</v>
      </c>
      <c r="Y9" s="14">
        <f t="shared" si="3"/>
        <v>10225.639872</v>
      </c>
      <c r="Z9" s="14">
        <f t="shared" si="4"/>
        <v>10225.639872</v>
      </c>
    </row>
    <row r="10" spans="1:26" x14ac:dyDescent="0.25">
      <c r="A10" s="30">
        <v>3</v>
      </c>
      <c r="B10" s="154">
        <v>1585781224</v>
      </c>
      <c r="C10" s="148" t="s">
        <v>356</v>
      </c>
      <c r="D10" s="148" t="s">
        <v>162</v>
      </c>
      <c r="E10" s="20" t="s">
        <v>427</v>
      </c>
      <c r="F10" s="59">
        <v>15</v>
      </c>
      <c r="G10" s="60">
        <v>824.36</v>
      </c>
      <c r="H10" s="61">
        <f t="shared" si="5"/>
        <v>12365.4</v>
      </c>
      <c r="I10" s="33"/>
      <c r="J10" s="33"/>
      <c r="K10" s="60">
        <f>VLOOKUP($H$10,Tabisr,1)</f>
        <v>10248.01</v>
      </c>
      <c r="L10" s="61">
        <f t="shared" si="6"/>
        <v>2117.3899999999994</v>
      </c>
      <c r="M10" s="62">
        <f>VLOOKUP($H$10,Tabisr,4)</f>
        <v>0.23519999999999999</v>
      </c>
      <c r="N10" s="60">
        <f t="shared" si="7"/>
        <v>498.01012799999984</v>
      </c>
      <c r="O10" s="60">
        <v>1641.75</v>
      </c>
      <c r="P10" s="60">
        <f t="shared" si="0"/>
        <v>2139.7601279999999</v>
      </c>
      <c r="Q10" s="60">
        <f>VLOOKUP($H$10,Tabsub,3)</f>
        <v>0</v>
      </c>
      <c r="R10" s="61"/>
      <c r="S10" s="61"/>
      <c r="T10" s="61"/>
      <c r="U10" s="61"/>
      <c r="V10" s="61">
        <f t="shared" si="1"/>
        <v>10225.639872</v>
      </c>
      <c r="W10" s="61">
        <f t="shared" si="2"/>
        <v>10225.639872</v>
      </c>
      <c r="Y10" s="14">
        <f t="shared" si="3"/>
        <v>10225.639872</v>
      </c>
      <c r="Z10" s="14">
        <f t="shared" si="4"/>
        <v>10225.639872</v>
      </c>
    </row>
    <row r="11" spans="1:26" x14ac:dyDescent="0.25">
      <c r="A11" s="30">
        <v>4</v>
      </c>
      <c r="B11" s="154">
        <v>1585781234</v>
      </c>
      <c r="C11" s="148" t="s">
        <v>357</v>
      </c>
      <c r="D11" s="149" t="s">
        <v>162</v>
      </c>
      <c r="E11" s="20" t="s">
        <v>428</v>
      </c>
      <c r="F11" s="59">
        <v>15</v>
      </c>
      <c r="G11" s="60">
        <v>824.36</v>
      </c>
      <c r="H11" s="61">
        <f t="shared" si="5"/>
        <v>12365.4</v>
      </c>
      <c r="I11" s="33"/>
      <c r="J11" s="33"/>
      <c r="K11" s="60">
        <f>VLOOKUP($H$11,Tabisr,1)</f>
        <v>10248.01</v>
      </c>
      <c r="L11" s="61">
        <f t="shared" si="6"/>
        <v>2117.3899999999994</v>
      </c>
      <c r="M11" s="62">
        <f>VLOOKUP($H$11,Tabisr,4)</f>
        <v>0.23519999999999999</v>
      </c>
      <c r="N11" s="60">
        <f t="shared" si="7"/>
        <v>498.01012799999984</v>
      </c>
      <c r="O11" s="60">
        <v>1641.75</v>
      </c>
      <c r="P11" s="60">
        <f t="shared" si="0"/>
        <v>2139.7601279999999</v>
      </c>
      <c r="Q11" s="60">
        <f>VLOOKUP($H$11,Tabsub,3)</f>
        <v>0</v>
      </c>
      <c r="R11" s="61"/>
      <c r="S11" s="61"/>
      <c r="T11" s="61"/>
      <c r="U11" s="61"/>
      <c r="V11" s="61">
        <f t="shared" si="1"/>
        <v>10225.639872</v>
      </c>
      <c r="W11" s="61">
        <f t="shared" si="2"/>
        <v>10225.639872</v>
      </c>
      <c r="Y11" s="14">
        <f t="shared" si="3"/>
        <v>10225.639872</v>
      </c>
      <c r="Z11" s="14">
        <f t="shared" si="4"/>
        <v>10225.639872</v>
      </c>
    </row>
    <row r="12" spans="1:26" x14ac:dyDescent="0.25">
      <c r="A12" s="30">
        <v>5</v>
      </c>
      <c r="B12" s="154">
        <v>2727626479</v>
      </c>
      <c r="C12" s="148" t="s">
        <v>439</v>
      </c>
      <c r="D12" s="150" t="s">
        <v>162</v>
      </c>
      <c r="E12" s="20" t="s">
        <v>432</v>
      </c>
      <c r="F12" s="59">
        <v>15</v>
      </c>
      <c r="G12" s="60">
        <v>824.36</v>
      </c>
      <c r="H12" s="61">
        <f t="shared" si="5"/>
        <v>12365.4</v>
      </c>
      <c r="I12" s="33"/>
      <c r="J12" s="33"/>
      <c r="K12" s="60">
        <f>VLOOKUP($H$12,Tabisr,1)</f>
        <v>10248.01</v>
      </c>
      <c r="L12" s="61">
        <f t="shared" si="6"/>
        <v>2117.3899999999994</v>
      </c>
      <c r="M12" s="62">
        <f>VLOOKUP($H$12,Tabisr,4)</f>
        <v>0.23519999999999999</v>
      </c>
      <c r="N12" s="60">
        <f t="shared" si="7"/>
        <v>498.01012799999984</v>
      </c>
      <c r="O12" s="60">
        <v>1641.75</v>
      </c>
      <c r="P12" s="60">
        <f t="shared" si="0"/>
        <v>2139.7601279999999</v>
      </c>
      <c r="Q12" s="60">
        <f>VLOOKUP($H$12,Tabsub,3)</f>
        <v>0</v>
      </c>
      <c r="R12" s="61"/>
      <c r="S12" s="61"/>
      <c r="T12" s="61"/>
      <c r="U12" s="61"/>
      <c r="V12" s="61">
        <f t="shared" si="1"/>
        <v>10225.639872</v>
      </c>
      <c r="W12" s="61">
        <f t="shared" si="2"/>
        <v>10225.639872</v>
      </c>
      <c r="Y12" s="14">
        <f t="shared" si="3"/>
        <v>10225.639872</v>
      </c>
      <c r="Z12" s="14">
        <f t="shared" si="4"/>
        <v>10225.639872</v>
      </c>
    </row>
    <row r="13" spans="1:26" x14ac:dyDescent="0.25">
      <c r="A13" s="30">
        <v>6</v>
      </c>
      <c r="B13" s="154">
        <v>1585781241</v>
      </c>
      <c r="C13" s="148" t="s">
        <v>358</v>
      </c>
      <c r="D13" s="149" t="s">
        <v>162</v>
      </c>
      <c r="E13" s="20" t="s">
        <v>431</v>
      </c>
      <c r="F13" s="59">
        <v>15</v>
      </c>
      <c r="G13" s="60">
        <v>824.36</v>
      </c>
      <c r="H13" s="61">
        <f t="shared" si="5"/>
        <v>12365.4</v>
      </c>
      <c r="I13" s="33"/>
      <c r="J13" s="33"/>
      <c r="K13" s="60">
        <f>VLOOKUP($H$13,Tabisr,1)</f>
        <v>10248.01</v>
      </c>
      <c r="L13" s="61">
        <f t="shared" si="6"/>
        <v>2117.3899999999994</v>
      </c>
      <c r="M13" s="62">
        <f>VLOOKUP($H$13,Tabisr,4)</f>
        <v>0.23519999999999999</v>
      </c>
      <c r="N13" s="60">
        <f t="shared" si="7"/>
        <v>498.01012799999984</v>
      </c>
      <c r="O13" s="60">
        <v>1641.75</v>
      </c>
      <c r="P13" s="60">
        <f t="shared" si="0"/>
        <v>2139.7601279999999</v>
      </c>
      <c r="Q13" s="60">
        <f>VLOOKUP($H$13,Tabsub,3)</f>
        <v>0</v>
      </c>
      <c r="R13" s="61"/>
      <c r="S13" s="61"/>
      <c r="T13" s="61"/>
      <c r="U13" s="61"/>
      <c r="V13" s="61">
        <f t="shared" si="1"/>
        <v>10225.639872</v>
      </c>
      <c r="W13" s="61">
        <f t="shared" si="2"/>
        <v>10225.639872</v>
      </c>
      <c r="Y13" s="14">
        <f t="shared" si="3"/>
        <v>10225.639872</v>
      </c>
      <c r="Z13" s="14">
        <f t="shared" si="4"/>
        <v>10225.639872</v>
      </c>
    </row>
    <row r="14" spans="1:26" s="23" customFormat="1" x14ac:dyDescent="0.25">
      <c r="A14" s="30">
        <v>7</v>
      </c>
      <c r="B14" s="154">
        <v>1585781259</v>
      </c>
      <c r="C14" s="148" t="s">
        <v>359</v>
      </c>
      <c r="D14" s="150" t="s">
        <v>162</v>
      </c>
      <c r="E14" s="20" t="s">
        <v>426</v>
      </c>
      <c r="F14" s="59">
        <v>15</v>
      </c>
      <c r="G14" s="60">
        <v>824.36</v>
      </c>
      <c r="H14" s="61">
        <f t="shared" si="5"/>
        <v>12365.4</v>
      </c>
      <c r="I14" s="33"/>
      <c r="J14" s="33"/>
      <c r="K14" s="60">
        <f>VLOOKUP($H$14,Tabisr,1)</f>
        <v>10248.01</v>
      </c>
      <c r="L14" s="61">
        <f t="shared" si="6"/>
        <v>2117.3899999999994</v>
      </c>
      <c r="M14" s="62">
        <f>VLOOKUP($H$14,Tabisr,4)</f>
        <v>0.23519999999999999</v>
      </c>
      <c r="N14" s="60">
        <f t="shared" si="7"/>
        <v>498.01012799999984</v>
      </c>
      <c r="O14" s="60">
        <v>1641.75</v>
      </c>
      <c r="P14" s="60">
        <f t="shared" si="0"/>
        <v>2139.7601279999999</v>
      </c>
      <c r="Q14" s="60">
        <f>VLOOKUP($H$14,Tabsub,3)</f>
        <v>0</v>
      </c>
      <c r="R14" s="61"/>
      <c r="S14" s="61"/>
      <c r="T14" s="61"/>
      <c r="U14" s="61"/>
      <c r="V14" s="61">
        <f t="shared" si="1"/>
        <v>10225.639872</v>
      </c>
      <c r="W14" s="61">
        <f t="shared" si="2"/>
        <v>10225.639872</v>
      </c>
      <c r="Y14" s="24">
        <f t="shared" si="3"/>
        <v>10225.639872</v>
      </c>
      <c r="Z14" s="24">
        <f t="shared" si="4"/>
        <v>10225.639872</v>
      </c>
    </row>
    <row r="15" spans="1:26" x14ac:dyDescent="0.25">
      <c r="A15" s="30">
        <v>8</v>
      </c>
      <c r="B15" s="154">
        <v>2908191751</v>
      </c>
      <c r="C15" s="148" t="s">
        <v>360</v>
      </c>
      <c r="D15" s="149" t="s">
        <v>162</v>
      </c>
      <c r="E15" s="20" t="s">
        <v>430</v>
      </c>
      <c r="F15" s="59">
        <v>15</v>
      </c>
      <c r="G15" s="60">
        <v>824.36</v>
      </c>
      <c r="H15" s="61">
        <f t="shared" si="5"/>
        <v>12365.4</v>
      </c>
      <c r="I15" s="33"/>
      <c r="J15" s="33"/>
      <c r="K15" s="60">
        <f>VLOOKUP($H$15,Tabisr,1)</f>
        <v>10248.01</v>
      </c>
      <c r="L15" s="61">
        <f t="shared" si="6"/>
        <v>2117.3899999999994</v>
      </c>
      <c r="M15" s="62">
        <f>VLOOKUP($H$15,Tabisr,4)</f>
        <v>0.23519999999999999</v>
      </c>
      <c r="N15" s="60">
        <f t="shared" si="7"/>
        <v>498.01012799999984</v>
      </c>
      <c r="O15" s="60">
        <v>1641.75</v>
      </c>
      <c r="P15" s="60">
        <f t="shared" si="0"/>
        <v>2139.7601279999999</v>
      </c>
      <c r="Q15" s="60">
        <f>VLOOKUP($H$15,Tabsub,3)</f>
        <v>0</v>
      </c>
      <c r="R15" s="61"/>
      <c r="S15" s="61"/>
      <c r="T15" s="61"/>
      <c r="U15" s="61"/>
      <c r="V15" s="61">
        <f t="shared" si="1"/>
        <v>10225.639872</v>
      </c>
      <c r="W15" s="61">
        <f t="shared" si="2"/>
        <v>10225.639872</v>
      </c>
      <c r="Y15" s="14">
        <f t="shared" si="3"/>
        <v>10225.639872</v>
      </c>
      <c r="Z15" s="14">
        <f t="shared" si="4"/>
        <v>10225.639872</v>
      </c>
    </row>
    <row r="16" spans="1:26" x14ac:dyDescent="0.25">
      <c r="A16" s="30">
        <v>9</v>
      </c>
      <c r="B16" s="154">
        <v>1599825782</v>
      </c>
      <c r="C16" s="148" t="s">
        <v>656</v>
      </c>
      <c r="D16" s="148" t="s">
        <v>162</v>
      </c>
      <c r="E16" s="20" t="s">
        <v>657</v>
      </c>
      <c r="F16" s="59">
        <v>15</v>
      </c>
      <c r="G16" s="60">
        <v>824.36</v>
      </c>
      <c r="H16" s="61">
        <f t="shared" si="5"/>
        <v>12365.4</v>
      </c>
      <c r="I16" s="33"/>
      <c r="J16" s="60"/>
      <c r="K16" s="60">
        <f>VLOOKUP($H$16,Tabisr,1)</f>
        <v>10248.01</v>
      </c>
      <c r="L16" s="61">
        <f t="shared" si="6"/>
        <v>2117.3899999999994</v>
      </c>
      <c r="M16" s="62">
        <f>VLOOKUP($H$16,Tabisr,4)</f>
        <v>0.23519999999999999</v>
      </c>
      <c r="N16" s="60">
        <f t="shared" si="7"/>
        <v>498.01012799999984</v>
      </c>
      <c r="O16" s="60">
        <v>1641.75</v>
      </c>
      <c r="P16" s="60">
        <f t="shared" si="0"/>
        <v>2139.7601279999999</v>
      </c>
      <c r="Q16" s="60">
        <f>VLOOKUP($H$16,Tabsub,3)</f>
        <v>0</v>
      </c>
      <c r="R16" s="61"/>
      <c r="S16" s="61"/>
      <c r="T16" s="61"/>
      <c r="U16" s="61"/>
      <c r="V16" s="61">
        <f t="shared" si="1"/>
        <v>10225.639872</v>
      </c>
      <c r="W16" s="61">
        <f t="shared" si="2"/>
        <v>10225.639872</v>
      </c>
      <c r="Y16" s="14">
        <f t="shared" si="3"/>
        <v>10225.639872</v>
      </c>
      <c r="Z16" s="14">
        <f t="shared" si="4"/>
        <v>10225.639872</v>
      </c>
    </row>
    <row r="17" spans="1:27" x14ac:dyDescent="0.25">
      <c r="A17" s="31">
        <v>10</v>
      </c>
      <c r="B17" s="154">
        <v>1585781275</v>
      </c>
      <c r="C17" s="148" t="s">
        <v>196</v>
      </c>
      <c r="D17" s="148" t="s">
        <v>450</v>
      </c>
      <c r="E17" s="20" t="s">
        <v>226</v>
      </c>
      <c r="F17" s="59">
        <v>15</v>
      </c>
      <c r="G17" s="60">
        <v>414.83</v>
      </c>
      <c r="H17" s="61">
        <f>F17*G17</f>
        <v>6222.45</v>
      </c>
      <c r="I17" s="60">
        <v>400</v>
      </c>
      <c r="J17" s="60"/>
      <c r="K17" s="60">
        <f>VLOOKUP($H$209,Tabisr,1)</f>
        <v>5081.01</v>
      </c>
      <c r="L17" s="61">
        <f>+H17-K17</f>
        <v>1141.4399999999996</v>
      </c>
      <c r="M17" s="62">
        <f>VLOOKUP($H$209,Tabisr,4)</f>
        <v>0.21360000000000001</v>
      </c>
      <c r="N17" s="60">
        <f>+L17*M17</f>
        <v>243.81158399999993</v>
      </c>
      <c r="O17" s="60">
        <f>VLOOKUP($H$209,Tabisr,3)</f>
        <v>538.20000000000005</v>
      </c>
      <c r="P17" s="60">
        <f>+N17+O17</f>
        <v>782.01158399999997</v>
      </c>
      <c r="Q17" s="60">
        <f>VLOOKUP($H$367,Tabsub,3)</f>
        <v>0</v>
      </c>
      <c r="R17" s="60">
        <v>1050</v>
      </c>
      <c r="S17" s="60"/>
      <c r="T17" s="60"/>
      <c r="U17" s="60"/>
      <c r="V17" s="61">
        <f t="shared" si="1"/>
        <v>4790.438416</v>
      </c>
      <c r="W17" s="61">
        <f t="shared" si="2"/>
        <v>4390.438416</v>
      </c>
      <c r="Y17" s="14">
        <f t="shared" si="3"/>
        <v>4790.438416</v>
      </c>
      <c r="Z17" s="14">
        <f t="shared" si="4"/>
        <v>4390.438416</v>
      </c>
    </row>
    <row r="18" spans="1:27" x14ac:dyDescent="0.25">
      <c r="A18" s="36">
        <v>11</v>
      </c>
      <c r="B18" s="222"/>
      <c r="C18" s="155" t="s">
        <v>458</v>
      </c>
      <c r="D18" s="22" t="s">
        <v>163</v>
      </c>
      <c r="E18" s="22"/>
      <c r="F18" s="262"/>
      <c r="G18" s="79"/>
      <c r="H18" s="79"/>
      <c r="I18" s="79"/>
      <c r="J18" s="105"/>
      <c r="K18" s="79"/>
      <c r="L18" s="81"/>
      <c r="M18" s="82"/>
      <c r="N18" s="79"/>
      <c r="O18" s="79"/>
      <c r="P18" s="79"/>
      <c r="Q18" s="79"/>
      <c r="R18" s="105"/>
      <c r="S18" s="105"/>
      <c r="T18" s="105"/>
      <c r="U18" s="105"/>
      <c r="V18" s="81"/>
      <c r="W18" s="81"/>
      <c r="Y18" s="14"/>
      <c r="Z18" s="14"/>
      <c r="AA18" s="14"/>
    </row>
    <row r="19" spans="1:27" x14ac:dyDescent="0.25">
      <c r="A19" s="32"/>
      <c r="B19" s="50"/>
      <c r="C19" s="153"/>
      <c r="D19" s="153"/>
      <c r="E19" s="212"/>
      <c r="F19" s="69" t="s">
        <v>529</v>
      </c>
      <c r="G19" s="70"/>
      <c r="H19" s="71">
        <f>SUM(H8:H18)</f>
        <v>117511.04999999997</v>
      </c>
      <c r="I19" s="71">
        <f>SUM(I8:I18)</f>
        <v>400</v>
      </c>
      <c r="J19" s="71">
        <f t="shared" ref="J19:O19" si="8">SUM(J8:J18)</f>
        <v>0</v>
      </c>
      <c r="K19" s="71">
        <f t="shared" si="8"/>
        <v>97313.099999999991</v>
      </c>
      <c r="L19" s="71">
        <f t="shared" si="8"/>
        <v>20197.949999999993</v>
      </c>
      <c r="M19" s="71">
        <f t="shared" si="8"/>
        <v>2.3304</v>
      </c>
      <c r="N19" s="71">
        <f t="shared" si="8"/>
        <v>4725.9027359999982</v>
      </c>
      <c r="O19" s="71">
        <f t="shared" si="8"/>
        <v>15313.95</v>
      </c>
      <c r="P19" s="71">
        <f t="shared" ref="P19:W19" si="9">SUM(P8:P18)</f>
        <v>20039.852736000001</v>
      </c>
      <c r="Q19" s="71">
        <f t="shared" si="9"/>
        <v>0</v>
      </c>
      <c r="R19" s="71">
        <f t="shared" si="9"/>
        <v>1050</v>
      </c>
      <c r="S19" s="71">
        <f t="shared" si="9"/>
        <v>0</v>
      </c>
      <c r="T19" s="71">
        <f t="shared" si="9"/>
        <v>0</v>
      </c>
      <c r="U19" s="71">
        <f t="shared" si="9"/>
        <v>0</v>
      </c>
      <c r="V19" s="71">
        <f t="shared" si="9"/>
        <v>96821.197264000002</v>
      </c>
      <c r="W19" s="71">
        <f t="shared" si="9"/>
        <v>96421.197264000002</v>
      </c>
      <c r="Y19" s="15">
        <f>+SUM(Y8:Y18)</f>
        <v>96821.197264000002</v>
      </c>
      <c r="Z19" s="15">
        <f>+SUM(Z8:Z18)</f>
        <v>96421.197264000002</v>
      </c>
    </row>
    <row r="20" spans="1:27" x14ac:dyDescent="0.25">
      <c r="A20" s="32"/>
      <c r="B20" s="50"/>
      <c r="C20" s="153"/>
      <c r="D20" s="153"/>
      <c r="E20" s="212"/>
      <c r="F20" s="6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Y20" s="15"/>
      <c r="Z20" s="15"/>
    </row>
    <row r="21" spans="1:27" x14ac:dyDescent="0.25">
      <c r="A21" s="32"/>
      <c r="B21" s="50"/>
      <c r="C21" s="153"/>
      <c r="D21" s="153"/>
      <c r="E21" s="212"/>
      <c r="F21" s="69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Y21" s="14"/>
      <c r="Z21" s="14"/>
    </row>
    <row r="22" spans="1:27" ht="18.75" x14ac:dyDescent="0.25">
      <c r="A22" s="266" t="s">
        <v>383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Y22" s="14"/>
      <c r="Z22" s="14"/>
    </row>
    <row r="23" spans="1:27" ht="33.75" customHeight="1" x14ac:dyDescent="0.25">
      <c r="A23" s="29" t="s">
        <v>69</v>
      </c>
      <c r="B23" s="223" t="s">
        <v>584</v>
      </c>
      <c r="C23" s="29" t="s">
        <v>17</v>
      </c>
      <c r="D23" s="29" t="s">
        <v>161</v>
      </c>
      <c r="E23" s="29" t="s">
        <v>143</v>
      </c>
      <c r="F23" s="29" t="s">
        <v>27</v>
      </c>
      <c r="G23" s="29" t="s">
        <v>19</v>
      </c>
      <c r="H23" s="29" t="s">
        <v>18</v>
      </c>
      <c r="I23" s="29" t="s">
        <v>66</v>
      </c>
      <c r="J23" s="29" t="s">
        <v>74</v>
      </c>
      <c r="K23" s="47" t="s">
        <v>301</v>
      </c>
      <c r="L23" s="47" t="s">
        <v>302</v>
      </c>
      <c r="M23" s="47" t="s">
        <v>303</v>
      </c>
      <c r="N23" s="47" t="s">
        <v>304</v>
      </c>
      <c r="O23" s="29" t="s">
        <v>305</v>
      </c>
      <c r="P23" s="29" t="s">
        <v>67</v>
      </c>
      <c r="Q23" s="29" t="s">
        <v>68</v>
      </c>
      <c r="R23" s="29" t="s">
        <v>20</v>
      </c>
      <c r="S23" s="29" t="s">
        <v>452</v>
      </c>
      <c r="T23" s="29" t="s">
        <v>72</v>
      </c>
      <c r="U23" s="29" t="s">
        <v>157</v>
      </c>
      <c r="V23" s="29" t="s">
        <v>155</v>
      </c>
      <c r="W23" s="29" t="s">
        <v>156</v>
      </c>
      <c r="Y23" s="14"/>
      <c r="Z23" s="14"/>
    </row>
    <row r="24" spans="1:27" s="23" customFormat="1" x14ac:dyDescent="0.25">
      <c r="A24" s="30">
        <v>12</v>
      </c>
      <c r="B24" s="154">
        <v>1506651402</v>
      </c>
      <c r="C24" s="16" t="s">
        <v>344</v>
      </c>
      <c r="D24" s="18" t="s">
        <v>343</v>
      </c>
      <c r="E24" s="20" t="s">
        <v>345</v>
      </c>
      <c r="F24" s="63">
        <v>15</v>
      </c>
      <c r="G24" s="72">
        <v>1787.61</v>
      </c>
      <c r="H24" s="68">
        <f t="shared" ref="H24:H28" si="10">F24*G24</f>
        <v>26814.149999999998</v>
      </c>
      <c r="I24" s="60"/>
      <c r="J24" s="60"/>
      <c r="K24" s="72">
        <f>VLOOKUP($H$24,Tabisr,1)</f>
        <v>16153.01</v>
      </c>
      <c r="L24" s="68">
        <f t="shared" ref="L24:L28" si="11">+H24-K24</f>
        <v>10661.139999999998</v>
      </c>
      <c r="M24" s="73">
        <f>VLOOKUP($H$24,Tabisr,4)</f>
        <v>0.3</v>
      </c>
      <c r="N24" s="72">
        <f>(H24-16153.01)*30%</f>
        <v>3198.3419999999992</v>
      </c>
      <c r="O24" s="72">
        <f>VLOOKUP($H$24,Tabisr,3)</f>
        <v>3030.6</v>
      </c>
      <c r="P24" s="72">
        <f>3030.6+((H24-16153.01)*30%)</f>
        <v>6228.9419999999991</v>
      </c>
      <c r="Q24" s="72">
        <f>VLOOKUP($H$24,Tabsub,3)</f>
        <v>0</v>
      </c>
      <c r="R24" s="60">
        <v>4750</v>
      </c>
      <c r="S24" s="60">
        <v>5200</v>
      </c>
      <c r="T24" s="60"/>
      <c r="U24" s="60"/>
      <c r="V24" s="68">
        <f t="shared" ref="V24:V28" si="12">H24+I24+J24-P24+Q24-R24-S24-T24-U24</f>
        <v>10635.207999999999</v>
      </c>
      <c r="W24" s="68">
        <f t="shared" ref="W24:W28" si="13">V24-I24</f>
        <v>10635.207999999999</v>
      </c>
      <c r="Y24" s="24">
        <f t="shared" ref="Y24:Y28" si="14">+H24+I24+J24+Q24-P24-R24-S24-T24-U24</f>
        <v>10635.207999999999</v>
      </c>
      <c r="Z24" s="24">
        <f t="shared" ref="Z24:Z28" si="15">+V24-I24</f>
        <v>10635.207999999999</v>
      </c>
    </row>
    <row r="25" spans="1:27" x14ac:dyDescent="0.25">
      <c r="A25" s="36">
        <v>13</v>
      </c>
      <c r="B25" s="222"/>
      <c r="C25" s="155" t="s">
        <v>458</v>
      </c>
      <c r="D25" s="155" t="s">
        <v>451</v>
      </c>
      <c r="E25" s="22"/>
      <c r="F25" s="78"/>
      <c r="G25" s="79"/>
      <c r="H25" s="79"/>
      <c r="I25" s="79"/>
      <c r="J25" s="108"/>
      <c r="K25" s="79"/>
      <c r="L25" s="81"/>
      <c r="M25" s="82"/>
      <c r="N25" s="79"/>
      <c r="O25" s="79"/>
      <c r="P25" s="254"/>
      <c r="Q25" s="79"/>
      <c r="R25" s="79"/>
      <c r="S25" s="79"/>
      <c r="T25" s="79"/>
      <c r="U25" s="79"/>
      <c r="V25" s="81"/>
      <c r="W25" s="81"/>
      <c r="Y25" s="14">
        <f t="shared" si="14"/>
        <v>0</v>
      </c>
      <c r="Z25" s="14">
        <f t="shared" si="15"/>
        <v>0</v>
      </c>
    </row>
    <row r="26" spans="1:27" x14ac:dyDescent="0.25">
      <c r="A26" s="30">
        <v>14</v>
      </c>
      <c r="B26" s="154">
        <v>2720438219</v>
      </c>
      <c r="C26" s="16" t="s">
        <v>348</v>
      </c>
      <c r="D26" s="158" t="s">
        <v>376</v>
      </c>
      <c r="E26" s="18" t="s">
        <v>349</v>
      </c>
      <c r="F26" s="63">
        <v>15</v>
      </c>
      <c r="G26" s="72">
        <v>536.54</v>
      </c>
      <c r="H26" s="72">
        <f>F26*G26</f>
        <v>8048.0999999999995</v>
      </c>
      <c r="I26" s="60"/>
      <c r="J26" s="60"/>
      <c r="K26" s="72">
        <f>VLOOKUP($H$26,Tabisr,1)</f>
        <v>5081.01</v>
      </c>
      <c r="L26" s="68">
        <f t="shared" si="11"/>
        <v>2967.0899999999992</v>
      </c>
      <c r="M26" s="73">
        <f>VLOOKUP($H$26,Tabisr,4)</f>
        <v>0.21360000000000001</v>
      </c>
      <c r="N26" s="72">
        <f>(H26-5081.01)*21.36%-153.47</f>
        <v>480.30042399999979</v>
      </c>
      <c r="O26" s="72">
        <v>538.20000000000005</v>
      </c>
      <c r="P26" s="72">
        <f>N26+O26</f>
        <v>1018.5004239999998</v>
      </c>
      <c r="Q26" s="72">
        <f>VLOOKUP($H$26,Tabsub,3)</f>
        <v>0</v>
      </c>
      <c r="R26" s="60"/>
      <c r="S26" s="60"/>
      <c r="T26" s="60"/>
      <c r="U26" s="60"/>
      <c r="V26" s="68">
        <f t="shared" si="12"/>
        <v>7029.5995759999996</v>
      </c>
      <c r="W26" s="68">
        <f t="shared" si="13"/>
        <v>7029.5995759999996</v>
      </c>
      <c r="Y26" s="14">
        <f t="shared" si="14"/>
        <v>7029.5995759999996</v>
      </c>
      <c r="Z26" s="14">
        <f t="shared" si="15"/>
        <v>7029.5995759999996</v>
      </c>
    </row>
    <row r="27" spans="1:27" x14ac:dyDescent="0.25">
      <c r="A27" s="30">
        <v>15</v>
      </c>
      <c r="B27" s="154">
        <v>1585781305</v>
      </c>
      <c r="C27" s="16" t="s">
        <v>374</v>
      </c>
      <c r="D27" s="158" t="s">
        <v>377</v>
      </c>
      <c r="E27" s="20" t="s">
        <v>375</v>
      </c>
      <c r="F27" s="63">
        <v>15</v>
      </c>
      <c r="G27" s="72">
        <v>536.54</v>
      </c>
      <c r="H27" s="72">
        <f>F27*G27</f>
        <v>8048.0999999999995</v>
      </c>
      <c r="I27" s="60"/>
      <c r="J27" s="60"/>
      <c r="K27" s="72">
        <f>VLOOKUP($H$26,Tabisr,1)</f>
        <v>5081.01</v>
      </c>
      <c r="L27" s="68">
        <f t="shared" si="11"/>
        <v>2967.0899999999992</v>
      </c>
      <c r="M27" s="73">
        <f>VLOOKUP($H$26,Tabisr,4)</f>
        <v>0.21360000000000001</v>
      </c>
      <c r="N27" s="72">
        <f>(H27-5081.01)*21.36%-155.67</f>
        <v>478.10042399999986</v>
      </c>
      <c r="O27" s="72">
        <v>538.20000000000005</v>
      </c>
      <c r="P27" s="72">
        <v>1018.5</v>
      </c>
      <c r="Q27" s="72">
        <f>VLOOKUP($H$26,Tabsub,3)</f>
        <v>0</v>
      </c>
      <c r="R27" s="60"/>
      <c r="S27" s="60"/>
      <c r="T27" s="60"/>
      <c r="U27" s="60"/>
      <c r="V27" s="68">
        <f t="shared" si="12"/>
        <v>7029.5999999999995</v>
      </c>
      <c r="W27" s="68">
        <f t="shared" si="13"/>
        <v>7029.5999999999995</v>
      </c>
      <c r="Y27" s="14">
        <f t="shared" si="14"/>
        <v>7029.5999999999995</v>
      </c>
      <c r="Z27" s="14">
        <f t="shared" si="15"/>
        <v>7029.5999999999995</v>
      </c>
    </row>
    <row r="28" spans="1:27" x14ac:dyDescent="0.25">
      <c r="A28" s="30">
        <v>16</v>
      </c>
      <c r="B28" s="154">
        <v>1585781313</v>
      </c>
      <c r="C28" s="16" t="s">
        <v>413</v>
      </c>
      <c r="D28" s="18" t="s">
        <v>163</v>
      </c>
      <c r="E28" s="18" t="s">
        <v>265</v>
      </c>
      <c r="F28" s="63">
        <v>15</v>
      </c>
      <c r="G28" s="72">
        <v>263.56</v>
      </c>
      <c r="H28" s="72">
        <f t="shared" si="10"/>
        <v>3953.4</v>
      </c>
      <c r="I28" s="60">
        <v>400</v>
      </c>
      <c r="J28" s="60"/>
      <c r="K28" s="72">
        <f>VLOOKUP($H$28,Tabisr,1)</f>
        <v>3651.01</v>
      </c>
      <c r="L28" s="68">
        <f t="shared" si="11"/>
        <v>302.38999999999987</v>
      </c>
      <c r="M28" s="73">
        <f>VLOOKUP($H$28,Tabisr,4)</f>
        <v>0.16</v>
      </c>
      <c r="N28" s="72">
        <f>(H28-3651.01)*16%</f>
        <v>48.382399999999983</v>
      </c>
      <c r="O28" s="72">
        <v>293.25</v>
      </c>
      <c r="P28" s="72">
        <f>N28+O28</f>
        <v>341.63239999999996</v>
      </c>
      <c r="Q28" s="72">
        <v>0</v>
      </c>
      <c r="R28" s="60"/>
      <c r="S28" s="60"/>
      <c r="T28" s="60"/>
      <c r="U28" s="60"/>
      <c r="V28" s="68">
        <f t="shared" si="12"/>
        <v>4011.7675999999997</v>
      </c>
      <c r="W28" s="68">
        <f t="shared" si="13"/>
        <v>3611.7675999999997</v>
      </c>
      <c r="Y28" s="14">
        <f t="shared" si="14"/>
        <v>4011.7675999999997</v>
      </c>
      <c r="Z28" s="14">
        <f t="shared" si="15"/>
        <v>3611.7675999999997</v>
      </c>
    </row>
    <row r="29" spans="1:27" s="10" customFormat="1" x14ac:dyDescent="0.25">
      <c r="A29" s="30">
        <v>46</v>
      </c>
      <c r="B29" s="45">
        <v>1585781518</v>
      </c>
      <c r="C29" s="16" t="s">
        <v>198</v>
      </c>
      <c r="D29" s="158" t="s">
        <v>652</v>
      </c>
      <c r="E29" s="18" t="s">
        <v>221</v>
      </c>
      <c r="F29" s="63">
        <v>15</v>
      </c>
      <c r="G29" s="87">
        <v>626.19000000000005</v>
      </c>
      <c r="H29" s="72">
        <f>F29*G29</f>
        <v>9392.85</v>
      </c>
      <c r="I29" s="72"/>
      <c r="J29" s="72"/>
      <c r="K29" s="72">
        <v>5081</v>
      </c>
      <c r="L29" s="68">
        <f>+H29-K29</f>
        <v>4311.8500000000004</v>
      </c>
      <c r="M29" s="73">
        <v>0.21360000000000001</v>
      </c>
      <c r="N29" s="72">
        <f>(H29-5081.01)*21.36%</f>
        <v>921.00902399999995</v>
      </c>
      <c r="O29" s="72">
        <v>538.20000000000005</v>
      </c>
      <c r="P29" s="72">
        <f>N29+O29</f>
        <v>1459.209024</v>
      </c>
      <c r="Q29" s="72">
        <f>VLOOKUP($H$90,Tabsub,3)</f>
        <v>0</v>
      </c>
      <c r="R29" s="72">
        <v>3400</v>
      </c>
      <c r="S29" s="72"/>
      <c r="T29" s="72"/>
      <c r="U29" s="72"/>
      <c r="V29" s="68">
        <f>H29+I29+J29-P29+Q29-R29-S29-T29-U29</f>
        <v>4533.6409760000006</v>
      </c>
      <c r="W29" s="68">
        <f>V29-I29</f>
        <v>4533.6409760000006</v>
      </c>
      <c r="Y29" s="14">
        <f>+H29+I29+J29+Q29-P29-R29-S29-T29-U29</f>
        <v>4533.6409760000006</v>
      </c>
      <c r="Z29" s="14">
        <f>+V29-I29</f>
        <v>4533.6409760000006</v>
      </c>
    </row>
    <row r="30" spans="1:27" s="10" customFormat="1" x14ac:dyDescent="0.25">
      <c r="A30" s="32"/>
      <c r="B30" s="50"/>
      <c r="C30" s="153"/>
      <c r="D30" s="26"/>
      <c r="E30" s="212"/>
      <c r="F30" s="69"/>
      <c r="G30" s="70"/>
      <c r="H30" s="76">
        <f>SUM(H24:H29)</f>
        <v>56256.6</v>
      </c>
      <c r="I30" s="76">
        <f>SUM(I24:I29)</f>
        <v>400</v>
      </c>
      <c r="J30" s="76">
        <f t="shared" ref="J30:W30" si="16">SUM(J24:J29)</f>
        <v>0</v>
      </c>
      <c r="K30" s="76">
        <f t="shared" si="16"/>
        <v>35047.040000000001</v>
      </c>
      <c r="L30" s="76">
        <f t="shared" si="16"/>
        <v>21209.559999999998</v>
      </c>
      <c r="M30" s="76">
        <f t="shared" si="16"/>
        <v>1.1008</v>
      </c>
      <c r="N30" s="76">
        <f t="shared" si="16"/>
        <v>5126.1342719999993</v>
      </c>
      <c r="O30" s="76">
        <f t="shared" si="16"/>
        <v>4938.45</v>
      </c>
      <c r="P30" s="76">
        <f t="shared" si="16"/>
        <v>10066.783847999999</v>
      </c>
      <c r="Q30" s="76">
        <f t="shared" si="16"/>
        <v>0</v>
      </c>
      <c r="R30" s="76">
        <f t="shared" si="16"/>
        <v>8150</v>
      </c>
      <c r="S30" s="76">
        <f t="shared" si="16"/>
        <v>5200</v>
      </c>
      <c r="T30" s="76">
        <f t="shared" si="16"/>
        <v>0</v>
      </c>
      <c r="U30" s="76">
        <f t="shared" si="16"/>
        <v>0</v>
      </c>
      <c r="V30" s="76">
        <f t="shared" si="16"/>
        <v>33239.816151999999</v>
      </c>
      <c r="W30" s="76">
        <f t="shared" si="16"/>
        <v>32839.816151999999</v>
      </c>
      <c r="Y30" s="15">
        <f>+SUM(Y24:Y29)</f>
        <v>33239.816151999999</v>
      </c>
      <c r="Z30" s="15">
        <f>+SUM(Z24:Z29)</f>
        <v>32839.816151999999</v>
      </c>
    </row>
    <row r="31" spans="1:27" s="10" customFormat="1" x14ac:dyDescent="0.25">
      <c r="A31" s="32"/>
      <c r="B31" s="50"/>
      <c r="C31" s="153"/>
      <c r="D31" s="26"/>
      <c r="E31" s="212"/>
      <c r="F31" s="69"/>
      <c r="G31" s="70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Y31" s="15"/>
      <c r="Z31" s="15"/>
    </row>
    <row r="32" spans="1:27" s="10" customFormat="1" x14ac:dyDescent="0.25">
      <c r="A32" s="32"/>
      <c r="B32" s="50"/>
      <c r="C32" s="153"/>
      <c r="D32" s="26"/>
      <c r="E32" s="212"/>
      <c r="F32" s="69"/>
      <c r="G32" s="70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Y32" s="15"/>
      <c r="Z32" s="15"/>
    </row>
    <row r="33" spans="1:26" s="10" customFormat="1" ht="18.75" x14ac:dyDescent="0.25">
      <c r="A33" s="266" t="s">
        <v>384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Y33" s="14"/>
      <c r="Z33" s="14"/>
    </row>
    <row r="34" spans="1:26" s="10" customFormat="1" ht="33.75" customHeight="1" x14ac:dyDescent="0.25">
      <c r="A34" s="29" t="s">
        <v>69</v>
      </c>
      <c r="B34" s="223" t="s">
        <v>584</v>
      </c>
      <c r="C34" s="29" t="s">
        <v>17</v>
      </c>
      <c r="D34" s="29" t="s">
        <v>161</v>
      </c>
      <c r="E34" s="29" t="s">
        <v>143</v>
      </c>
      <c r="F34" s="29" t="s">
        <v>27</v>
      </c>
      <c r="G34" s="29" t="s">
        <v>19</v>
      </c>
      <c r="H34" s="29" t="s">
        <v>18</v>
      </c>
      <c r="I34" s="29" t="s">
        <v>66</v>
      </c>
      <c r="J34" s="29" t="s">
        <v>74</v>
      </c>
      <c r="K34" s="47" t="s">
        <v>301</v>
      </c>
      <c r="L34" s="47" t="s">
        <v>302</v>
      </c>
      <c r="M34" s="47" t="s">
        <v>303</v>
      </c>
      <c r="N34" s="47" t="s">
        <v>304</v>
      </c>
      <c r="O34" s="29" t="s">
        <v>305</v>
      </c>
      <c r="P34" s="29" t="s">
        <v>67</v>
      </c>
      <c r="Q34" s="29" t="s">
        <v>68</v>
      </c>
      <c r="R34" s="29" t="s">
        <v>20</v>
      </c>
      <c r="S34" s="29" t="s">
        <v>452</v>
      </c>
      <c r="T34" s="29" t="s">
        <v>72</v>
      </c>
      <c r="U34" s="29" t="s">
        <v>157</v>
      </c>
      <c r="V34" s="29" t="s">
        <v>155</v>
      </c>
      <c r="W34" s="29" t="s">
        <v>156</v>
      </c>
      <c r="Y34" s="14"/>
      <c r="Z34" s="14"/>
    </row>
    <row r="35" spans="1:26" s="10" customFormat="1" x14ac:dyDescent="0.25">
      <c r="A35" s="30">
        <v>18</v>
      </c>
      <c r="B35" s="45">
        <v>1585781330</v>
      </c>
      <c r="C35" s="16" t="s">
        <v>192</v>
      </c>
      <c r="D35" s="16" t="s">
        <v>202</v>
      </c>
      <c r="E35" s="20" t="s">
        <v>223</v>
      </c>
      <c r="F35" s="30">
        <v>15</v>
      </c>
      <c r="G35" s="30">
        <v>943.95</v>
      </c>
      <c r="H35" s="195">
        <f>G35*F35</f>
        <v>14159.25</v>
      </c>
      <c r="I35" s="30"/>
      <c r="J35" s="30"/>
      <c r="K35" s="30">
        <v>5081.01</v>
      </c>
      <c r="L35" s="77">
        <f>H35-K35</f>
        <v>9078.24</v>
      </c>
      <c r="M35" s="73">
        <v>0.21360000000000001</v>
      </c>
      <c r="N35" s="72">
        <f>(H35-10248.01)*23.52%</f>
        <v>919.92364799999996</v>
      </c>
      <c r="O35" s="72">
        <v>1641.75</v>
      </c>
      <c r="P35" s="72">
        <f>O35+N35</f>
        <v>2561.673648</v>
      </c>
      <c r="Q35" s="30"/>
      <c r="R35" s="30"/>
      <c r="S35" s="30"/>
      <c r="T35" s="30"/>
      <c r="U35" s="30"/>
      <c r="V35" s="68">
        <f t="shared" ref="V35:V40" si="17">H35+I35+J35-P35+Q35-R35-S35-T35-U35</f>
        <v>11597.576352</v>
      </c>
      <c r="W35" s="68">
        <f t="shared" ref="W35:W40" si="18">V35-I35</f>
        <v>11597.576352</v>
      </c>
      <c r="Y35" s="14">
        <f t="shared" ref="Y35:Y40" si="19">+H35+I35+J35+Q35-P35-R35-S35-T35-U35</f>
        <v>11597.576352</v>
      </c>
      <c r="Z35" s="14">
        <f t="shared" ref="Z35:Z40" si="20">+V35-I35</f>
        <v>11597.576352</v>
      </c>
    </row>
    <row r="36" spans="1:26" s="10" customFormat="1" x14ac:dyDescent="0.25">
      <c r="A36" s="30">
        <v>19</v>
      </c>
      <c r="B36" s="45">
        <v>1585781348</v>
      </c>
      <c r="C36" s="16" t="s">
        <v>453</v>
      </c>
      <c r="D36" s="18" t="s">
        <v>175</v>
      </c>
      <c r="E36" s="20" t="s">
        <v>454</v>
      </c>
      <c r="F36" s="30">
        <v>15</v>
      </c>
      <c r="G36" s="72">
        <v>312.25</v>
      </c>
      <c r="H36" s="196">
        <f>F36*G36</f>
        <v>4683.75</v>
      </c>
      <c r="I36" s="72">
        <v>400</v>
      </c>
      <c r="J36" s="72"/>
      <c r="K36" s="72">
        <f>VLOOKUP($H$367,Tabisr,1)</f>
        <v>5081.01</v>
      </c>
      <c r="L36" s="68">
        <f>+H36-K36</f>
        <v>-397.26000000000022</v>
      </c>
      <c r="M36" s="73">
        <f>VLOOKUP($H$367,Tabisr,4)</f>
        <v>0.21360000000000001</v>
      </c>
      <c r="N36" s="72">
        <f>(H36-4244.01)*17.92%</f>
        <v>78.801407999999967</v>
      </c>
      <c r="O36" s="72">
        <v>388.05</v>
      </c>
      <c r="P36" s="72">
        <f>O36+N36</f>
        <v>466.85140799999999</v>
      </c>
      <c r="Q36" s="72">
        <f>VLOOKUP($H$48,Tabsub,3)</f>
        <v>0</v>
      </c>
      <c r="R36" s="72"/>
      <c r="S36" s="72">
        <v>898</v>
      </c>
      <c r="T36" s="72"/>
      <c r="U36" s="72">
        <v>500</v>
      </c>
      <c r="V36" s="68">
        <f t="shared" si="17"/>
        <v>3218.8985919999996</v>
      </c>
      <c r="W36" s="68">
        <f t="shared" si="18"/>
        <v>2818.8985919999996</v>
      </c>
      <c r="Y36" s="14">
        <f t="shared" si="19"/>
        <v>3218.8985919999996</v>
      </c>
      <c r="Z36" s="14">
        <f t="shared" si="20"/>
        <v>2818.8985919999996</v>
      </c>
    </row>
    <row r="37" spans="1:26" s="10" customFormat="1" x14ac:dyDescent="0.25">
      <c r="A37" s="30">
        <v>20</v>
      </c>
      <c r="B37" s="45">
        <v>1573205037</v>
      </c>
      <c r="C37" s="16" t="s">
        <v>545</v>
      </c>
      <c r="D37" s="210" t="s">
        <v>650</v>
      </c>
      <c r="E37" s="20" t="s">
        <v>546</v>
      </c>
      <c r="F37" s="30">
        <v>15</v>
      </c>
      <c r="G37" s="72">
        <v>312.25</v>
      </c>
      <c r="H37" s="196">
        <f>F37*G37</f>
        <v>4683.75</v>
      </c>
      <c r="I37" s="60">
        <v>400</v>
      </c>
      <c r="J37" s="60"/>
      <c r="K37" s="72">
        <f>VLOOKUP($H$62,Tabisr,1)</f>
        <v>3651.01</v>
      </c>
      <c r="L37" s="68">
        <f>+H37-K37</f>
        <v>1032.7399999999998</v>
      </c>
      <c r="M37" s="73">
        <f>VLOOKUP($H$62,Tabisr,4)</f>
        <v>0.16</v>
      </c>
      <c r="N37" s="72">
        <f>(H37-3651.01)*16%</f>
        <v>165.23839999999996</v>
      </c>
      <c r="O37" s="72">
        <v>293.25</v>
      </c>
      <c r="P37" s="72">
        <v>466.85</v>
      </c>
      <c r="Q37" s="72"/>
      <c r="R37" s="60"/>
      <c r="S37" s="60">
        <v>1515</v>
      </c>
      <c r="T37" s="60"/>
      <c r="U37" s="60"/>
      <c r="V37" s="68">
        <f t="shared" si="17"/>
        <v>3101.8999999999996</v>
      </c>
      <c r="W37" s="68">
        <f t="shared" si="18"/>
        <v>2701.8999999999996</v>
      </c>
      <c r="Y37" s="14">
        <f t="shared" si="19"/>
        <v>3101.8999999999996</v>
      </c>
      <c r="Z37" s="14">
        <f t="shared" si="20"/>
        <v>2701.8999999999996</v>
      </c>
    </row>
    <row r="38" spans="1:26" s="10" customFormat="1" x14ac:dyDescent="0.25">
      <c r="A38" s="30">
        <v>21</v>
      </c>
      <c r="B38" s="45">
        <v>1565342956</v>
      </c>
      <c r="C38" s="16" t="s">
        <v>424</v>
      </c>
      <c r="D38" s="158" t="s">
        <v>649</v>
      </c>
      <c r="E38" s="162" t="s">
        <v>542</v>
      </c>
      <c r="F38" s="30">
        <v>15</v>
      </c>
      <c r="G38" s="72">
        <v>263.55</v>
      </c>
      <c r="H38" s="196">
        <f>F38*G38</f>
        <v>3953.25</v>
      </c>
      <c r="I38" s="60">
        <v>400</v>
      </c>
      <c r="J38" s="60"/>
      <c r="K38" s="72">
        <f>VLOOKUP($H$62,Tabisr,1)</f>
        <v>3651.01</v>
      </c>
      <c r="L38" s="68">
        <f>+H38-K38</f>
        <v>302.23999999999978</v>
      </c>
      <c r="M38" s="73">
        <f>VLOOKUP($H$62,Tabisr,4)</f>
        <v>0.16</v>
      </c>
      <c r="N38" s="72">
        <f>(H38-3651.01)*16%</f>
        <v>48.358399999999968</v>
      </c>
      <c r="O38" s="72">
        <v>293.25</v>
      </c>
      <c r="P38" s="72">
        <f>O38+N38</f>
        <v>341.60839999999996</v>
      </c>
      <c r="Q38" s="72"/>
      <c r="R38" s="60">
        <v>1200</v>
      </c>
      <c r="S38" s="60"/>
      <c r="T38" s="60"/>
      <c r="U38" s="60">
        <v>500</v>
      </c>
      <c r="V38" s="68">
        <f t="shared" si="17"/>
        <v>2311.6415999999999</v>
      </c>
      <c r="W38" s="68">
        <f t="shared" si="18"/>
        <v>1911.6415999999999</v>
      </c>
      <c r="Y38" s="14">
        <f t="shared" si="19"/>
        <v>2311.6415999999999</v>
      </c>
      <c r="Z38" s="14">
        <f t="shared" si="20"/>
        <v>1911.6415999999999</v>
      </c>
    </row>
    <row r="39" spans="1:26" s="12" customFormat="1" x14ac:dyDescent="0.25">
      <c r="A39" s="30">
        <v>22</v>
      </c>
      <c r="B39" s="45">
        <v>1588823548</v>
      </c>
      <c r="C39" s="16" t="s">
        <v>626</v>
      </c>
      <c r="D39" s="171" t="s">
        <v>169</v>
      </c>
      <c r="E39" s="20" t="s">
        <v>627</v>
      </c>
      <c r="F39" s="30">
        <v>15</v>
      </c>
      <c r="G39" s="72">
        <v>263.55</v>
      </c>
      <c r="H39" s="196">
        <f>F39*G39</f>
        <v>3953.25</v>
      </c>
      <c r="I39" s="60">
        <v>400</v>
      </c>
      <c r="J39" s="60"/>
      <c r="K39" s="72">
        <f>VLOOKUP($H$28,Tabisr,1)</f>
        <v>3651.01</v>
      </c>
      <c r="L39" s="68">
        <f>+H39-K39</f>
        <v>302.23999999999978</v>
      </c>
      <c r="M39" s="73">
        <f>VLOOKUP($H$28,Tabisr,4)</f>
        <v>0.16</v>
      </c>
      <c r="N39" s="72">
        <f>(H39-3651.01)*16%</f>
        <v>48.358399999999968</v>
      </c>
      <c r="O39" s="72">
        <v>293.25</v>
      </c>
      <c r="P39" s="72">
        <f>N39+O39</f>
        <v>341.60839999999996</v>
      </c>
      <c r="Q39" s="72">
        <v>0</v>
      </c>
      <c r="R39" s="60"/>
      <c r="S39" s="60"/>
      <c r="T39" s="60"/>
      <c r="U39" s="60"/>
      <c r="V39" s="68">
        <f t="shared" si="17"/>
        <v>4011.6415999999999</v>
      </c>
      <c r="W39" s="68">
        <f t="shared" si="18"/>
        <v>3611.6415999999999</v>
      </c>
      <c r="Y39" s="24">
        <f t="shared" si="19"/>
        <v>4011.6415999999999</v>
      </c>
      <c r="Z39" s="24">
        <f t="shared" si="20"/>
        <v>3611.6415999999999</v>
      </c>
    </row>
    <row r="40" spans="1:26" s="12" customFormat="1" x14ac:dyDescent="0.25">
      <c r="A40" s="30">
        <v>23</v>
      </c>
      <c r="B40" s="154">
        <v>1585781283</v>
      </c>
      <c r="C40" s="16" t="s">
        <v>236</v>
      </c>
      <c r="D40" s="18" t="s">
        <v>559</v>
      </c>
      <c r="E40" s="18" t="s">
        <v>237</v>
      </c>
      <c r="F40" s="30">
        <v>15</v>
      </c>
      <c r="G40" s="72">
        <v>312.25</v>
      </c>
      <c r="H40" s="196">
        <f>F40*G40</f>
        <v>4683.75</v>
      </c>
      <c r="I40" s="60">
        <v>400</v>
      </c>
      <c r="J40" s="60"/>
      <c r="K40" s="72">
        <f>VLOOKUP($H$62,Tabisr,1)</f>
        <v>3651.01</v>
      </c>
      <c r="L40" s="68">
        <f>+H40-K40</f>
        <v>1032.7399999999998</v>
      </c>
      <c r="M40" s="73">
        <f>VLOOKUP($H$62,Tabisr,4)</f>
        <v>0.16</v>
      </c>
      <c r="N40" s="72">
        <f>(H40-3651.01)*16%</f>
        <v>165.23839999999996</v>
      </c>
      <c r="O40" s="72">
        <v>293.25</v>
      </c>
      <c r="P40" s="72">
        <v>466.85</v>
      </c>
      <c r="Q40" s="72"/>
      <c r="R40" s="60"/>
      <c r="S40" s="60"/>
      <c r="T40" s="60"/>
      <c r="U40" s="60"/>
      <c r="V40" s="68">
        <f t="shared" si="17"/>
        <v>4616.8999999999996</v>
      </c>
      <c r="W40" s="68">
        <f t="shared" si="18"/>
        <v>4216.8999999999996</v>
      </c>
      <c r="Y40" s="24">
        <f t="shared" si="19"/>
        <v>4616.8999999999996</v>
      </c>
      <c r="Z40" s="24">
        <f t="shared" si="20"/>
        <v>4216.8999999999996</v>
      </c>
    </row>
    <row r="41" spans="1:26" s="10" customFormat="1" x14ac:dyDescent="0.25">
      <c r="A41" s="32"/>
      <c r="B41" s="50"/>
      <c r="C41" s="153"/>
      <c r="D41" s="26"/>
      <c r="E41" s="212"/>
      <c r="F41" s="69"/>
      <c r="G41" s="70"/>
      <c r="H41" s="197">
        <f>SUM(H35:H40)</f>
        <v>36117</v>
      </c>
      <c r="I41" s="76">
        <f>SUM(I35:I40)</f>
        <v>2000</v>
      </c>
      <c r="J41" s="76">
        <f t="shared" ref="J41:O41" si="21">SUM(J35:J40)</f>
        <v>0</v>
      </c>
      <c r="K41" s="76">
        <f t="shared" si="21"/>
        <v>24766.060000000005</v>
      </c>
      <c r="L41" s="76">
        <f t="shared" si="21"/>
        <v>11350.939999999999</v>
      </c>
      <c r="M41" s="76">
        <f t="shared" si="21"/>
        <v>1.0672000000000001</v>
      </c>
      <c r="N41" s="76">
        <f t="shared" si="21"/>
        <v>1425.9186560000001</v>
      </c>
      <c r="O41" s="76">
        <f t="shared" si="21"/>
        <v>3202.8</v>
      </c>
      <c r="P41" s="76">
        <f t="shared" ref="P41:W41" si="22">SUM(P35:P40)</f>
        <v>4645.4418560000004</v>
      </c>
      <c r="Q41" s="76">
        <f t="shared" si="22"/>
        <v>0</v>
      </c>
      <c r="R41" s="76">
        <f t="shared" si="22"/>
        <v>1200</v>
      </c>
      <c r="S41" s="76">
        <f t="shared" si="22"/>
        <v>2413</v>
      </c>
      <c r="T41" s="76">
        <f t="shared" si="22"/>
        <v>0</v>
      </c>
      <c r="U41" s="76">
        <f t="shared" si="22"/>
        <v>1000</v>
      </c>
      <c r="V41" s="76">
        <f t="shared" si="22"/>
        <v>28858.558143999995</v>
      </c>
      <c r="W41" s="76">
        <f t="shared" si="22"/>
        <v>26858.558143999995</v>
      </c>
      <c r="Y41" s="15">
        <f>+SUM(Y35:Y40)</f>
        <v>28858.558143999995</v>
      </c>
      <c r="Z41" s="15">
        <f>+SUM(Z35:Z40)</f>
        <v>26858.558143999995</v>
      </c>
    </row>
    <row r="42" spans="1:26" s="10" customFormat="1" x14ac:dyDescent="0.25">
      <c r="A42" s="32"/>
      <c r="B42" s="50"/>
      <c r="C42" s="153"/>
      <c r="D42" s="26"/>
      <c r="E42" s="212"/>
      <c r="F42" s="69"/>
      <c r="G42" s="70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Y42" s="15"/>
      <c r="Z42" s="15"/>
    </row>
    <row r="43" spans="1:26" s="10" customFormat="1" x14ac:dyDescent="0.25">
      <c r="A43" s="32"/>
      <c r="B43" s="50"/>
      <c r="C43" s="153"/>
      <c r="D43" s="26"/>
      <c r="E43" s="212"/>
      <c r="F43" s="69"/>
      <c r="G43" s="70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Y43" s="14"/>
      <c r="Z43" s="14"/>
    </row>
    <row r="44" spans="1:26" s="10" customFormat="1" ht="18.75" x14ac:dyDescent="0.25">
      <c r="A44" s="266" t="s">
        <v>385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Y44" s="14"/>
      <c r="Z44" s="14"/>
    </row>
    <row r="45" spans="1:26" s="10" customFormat="1" ht="34.5" customHeight="1" x14ac:dyDescent="0.25">
      <c r="A45" s="29" t="s">
        <v>69</v>
      </c>
      <c r="B45" s="223" t="s">
        <v>584</v>
      </c>
      <c r="C45" s="29" t="s">
        <v>17</v>
      </c>
      <c r="D45" s="29" t="s">
        <v>161</v>
      </c>
      <c r="E45" s="29" t="s">
        <v>143</v>
      </c>
      <c r="F45" s="29" t="s">
        <v>27</v>
      </c>
      <c r="G45" s="29" t="s">
        <v>19</v>
      </c>
      <c r="H45" s="29" t="s">
        <v>18</v>
      </c>
      <c r="I45" s="29" t="s">
        <v>66</v>
      </c>
      <c r="J45" s="29" t="s">
        <v>74</v>
      </c>
      <c r="K45" s="47" t="s">
        <v>301</v>
      </c>
      <c r="L45" s="47" t="s">
        <v>302</v>
      </c>
      <c r="M45" s="47" t="s">
        <v>303</v>
      </c>
      <c r="N45" s="47" t="s">
        <v>304</v>
      </c>
      <c r="O45" s="29" t="s">
        <v>305</v>
      </c>
      <c r="P45" s="29" t="s">
        <v>67</v>
      </c>
      <c r="Q45" s="29" t="s">
        <v>68</v>
      </c>
      <c r="R45" s="29" t="s">
        <v>20</v>
      </c>
      <c r="S45" s="29" t="s">
        <v>452</v>
      </c>
      <c r="T45" s="29" t="s">
        <v>72</v>
      </c>
      <c r="U45" s="29" t="s">
        <v>157</v>
      </c>
      <c r="V45" s="29" t="s">
        <v>155</v>
      </c>
      <c r="W45" s="29" t="s">
        <v>156</v>
      </c>
      <c r="Y45" s="14"/>
      <c r="Z45" s="14"/>
    </row>
    <row r="46" spans="1:26" s="10" customFormat="1" x14ac:dyDescent="0.25">
      <c r="A46" s="30">
        <v>242</v>
      </c>
      <c r="B46" s="45">
        <v>1598410260</v>
      </c>
      <c r="C46" s="16" t="s">
        <v>654</v>
      </c>
      <c r="D46" s="18" t="s">
        <v>167</v>
      </c>
      <c r="E46" s="18" t="s">
        <v>668</v>
      </c>
      <c r="F46" s="63">
        <v>15</v>
      </c>
      <c r="G46" s="72">
        <v>943.95</v>
      </c>
      <c r="H46" s="72">
        <f>F46*G46</f>
        <v>14159.25</v>
      </c>
      <c r="I46" s="72"/>
      <c r="J46" s="83"/>
      <c r="K46" s="72">
        <v>5081.01</v>
      </c>
      <c r="L46" s="68">
        <f>H46-K46</f>
        <v>9078.24</v>
      </c>
      <c r="M46" s="73">
        <v>0.21360000000000001</v>
      </c>
      <c r="N46" s="72">
        <f>(H46-10248.01)*23.52%</f>
        <v>919.92364799999996</v>
      </c>
      <c r="O46" s="72">
        <v>1641.75</v>
      </c>
      <c r="P46" s="72">
        <f>O46+N46</f>
        <v>2561.673648</v>
      </c>
      <c r="Q46" s="72">
        <f>VLOOKUP($H$167,Tabsub,3)</f>
        <v>0</v>
      </c>
      <c r="R46" s="30"/>
      <c r="S46" s="30"/>
      <c r="T46" s="72"/>
      <c r="U46" s="72"/>
      <c r="V46" s="68">
        <f>H46+I46+J46-P46+Q46-R46-S46-T46-U46</f>
        <v>11597.576352</v>
      </c>
      <c r="W46" s="68">
        <f>V46-I46</f>
        <v>11597.576352</v>
      </c>
      <c r="Y46" s="14">
        <f>+H46+I46+J46+Q46-P46-R46-S46-T46-U46</f>
        <v>11597.576352</v>
      </c>
      <c r="Z46" s="14">
        <f>+V46-I46</f>
        <v>11597.576352</v>
      </c>
    </row>
    <row r="47" spans="1:26" s="10" customFormat="1" x14ac:dyDescent="0.25">
      <c r="A47" s="30">
        <v>25</v>
      </c>
      <c r="B47" s="45">
        <v>1585781364</v>
      </c>
      <c r="C47" s="16" t="s">
        <v>494</v>
      </c>
      <c r="D47" s="18" t="s">
        <v>495</v>
      </c>
      <c r="E47" s="18" t="s">
        <v>496</v>
      </c>
      <c r="F47" s="63">
        <v>15</v>
      </c>
      <c r="G47" s="72">
        <v>661.33</v>
      </c>
      <c r="H47" s="72">
        <f>F47*G47</f>
        <v>9919.9500000000007</v>
      </c>
      <c r="I47" s="72"/>
      <c r="J47" s="83"/>
      <c r="K47" s="72">
        <v>5081</v>
      </c>
      <c r="L47" s="68">
        <f>+H47-K47</f>
        <v>4838.9500000000007</v>
      </c>
      <c r="M47" s="73">
        <v>0.21360000000000001</v>
      </c>
      <c r="N47" s="72">
        <f>(H47-5081.01)*21.36%</f>
        <v>1033.5975840000001</v>
      </c>
      <c r="O47" s="72">
        <v>538.20000000000005</v>
      </c>
      <c r="P47" s="195">
        <f>N47+O47</f>
        <v>1571.7975840000001</v>
      </c>
      <c r="Q47" s="72"/>
      <c r="R47" s="72"/>
      <c r="S47" s="72"/>
      <c r="T47" s="72"/>
      <c r="U47" s="72"/>
      <c r="V47" s="68">
        <f>H47+I47+J47-P47+Q47-R47-T47-U47</f>
        <v>8348.1524160000008</v>
      </c>
      <c r="W47" s="68">
        <f>V47-I47</f>
        <v>8348.1524160000008</v>
      </c>
      <c r="Y47" s="14">
        <f>+H47+I47+J47+Q47-P47-R47-S47-T47-U47</f>
        <v>8348.1524160000008</v>
      </c>
      <c r="Z47" s="14">
        <f>+V47-I47</f>
        <v>8348.1524160000008</v>
      </c>
    </row>
    <row r="48" spans="1:26" s="10" customFormat="1" x14ac:dyDescent="0.25">
      <c r="A48" s="30">
        <v>26</v>
      </c>
      <c r="B48" s="156">
        <v>1578860762</v>
      </c>
      <c r="C48" s="148" t="s">
        <v>220</v>
      </c>
      <c r="D48" s="148" t="s">
        <v>361</v>
      </c>
      <c r="E48" s="20" t="s">
        <v>224</v>
      </c>
      <c r="F48" s="63">
        <v>15</v>
      </c>
      <c r="G48" s="60">
        <v>414.83</v>
      </c>
      <c r="H48" s="61">
        <f>F48*G48</f>
        <v>6222.45</v>
      </c>
      <c r="I48" s="60">
        <v>400</v>
      </c>
      <c r="J48" s="60"/>
      <c r="K48" s="60">
        <f>VLOOKUP($H$209,Tabisr,1)</f>
        <v>5081.01</v>
      </c>
      <c r="L48" s="61">
        <f>+H48-K48</f>
        <v>1141.4399999999996</v>
      </c>
      <c r="M48" s="62">
        <f>VLOOKUP($H$209,Tabisr,4)</f>
        <v>0.21360000000000001</v>
      </c>
      <c r="N48" s="60">
        <f>+L48*M48</f>
        <v>243.81158399999993</v>
      </c>
      <c r="O48" s="60">
        <f>VLOOKUP($H$209,Tabisr,3)</f>
        <v>538.20000000000005</v>
      </c>
      <c r="P48" s="60">
        <f>+N48+O48</f>
        <v>782.01158399999997</v>
      </c>
      <c r="Q48" s="60">
        <f>VLOOKUP($H$367,Tabsub,3)</f>
        <v>0</v>
      </c>
      <c r="R48" s="60">
        <v>1350</v>
      </c>
      <c r="S48" s="60"/>
      <c r="T48" s="60"/>
      <c r="U48" s="60"/>
      <c r="V48" s="61">
        <f>H48+I48+J48-P48+Q48-R48-T48-U48</f>
        <v>4490.438416</v>
      </c>
      <c r="W48" s="61">
        <f>V48-I48</f>
        <v>4090.438416</v>
      </c>
      <c r="Y48" s="14">
        <f>+H48+I48+J48+Q48-P48-R48-S48-T48-U48</f>
        <v>4490.438416</v>
      </c>
      <c r="Z48" s="14">
        <f>+V48-I48</f>
        <v>4090.438416</v>
      </c>
    </row>
    <row r="49" spans="1:26" s="10" customFormat="1" x14ac:dyDescent="0.25">
      <c r="A49" s="30">
        <v>28</v>
      </c>
      <c r="B49" s="45">
        <v>1585782964</v>
      </c>
      <c r="C49" s="178" t="s">
        <v>608</v>
      </c>
      <c r="D49" s="151" t="s">
        <v>163</v>
      </c>
      <c r="E49" s="178" t="s">
        <v>563</v>
      </c>
      <c r="F49" s="63">
        <v>15</v>
      </c>
      <c r="G49" s="72">
        <v>263.56</v>
      </c>
      <c r="H49" s="72">
        <f>F49*G49</f>
        <v>3953.4</v>
      </c>
      <c r="I49" s="72">
        <v>400</v>
      </c>
      <c r="J49" s="72"/>
      <c r="K49" s="72">
        <v>4244.01</v>
      </c>
      <c r="L49" s="68">
        <f>+H49-K49</f>
        <v>-290.61000000000013</v>
      </c>
      <c r="M49" s="73">
        <v>0.1792</v>
      </c>
      <c r="N49" s="72">
        <f>(H49-3651.01)*16%</f>
        <v>48.382399999999983</v>
      </c>
      <c r="O49" s="72">
        <v>293.25</v>
      </c>
      <c r="P49" s="72">
        <f>O49+N49</f>
        <v>341.63239999999996</v>
      </c>
      <c r="Q49" s="72"/>
      <c r="R49" s="72"/>
      <c r="S49" s="72"/>
      <c r="T49" s="72"/>
      <c r="U49" s="72"/>
      <c r="V49" s="68">
        <f>H49+I49+J49-P49+Q49-R49-T49-U49</f>
        <v>4011.7675999999997</v>
      </c>
      <c r="W49" s="68">
        <f>V49-I49</f>
        <v>3611.7675999999997</v>
      </c>
      <c r="Y49" s="14">
        <f>+H343+I343+J343+Q343-P343-R343-S343-T343-U343</f>
        <v>4011.7675999999997</v>
      </c>
      <c r="Z49" s="14">
        <f>+V343-I343</f>
        <v>3611.7675999999997</v>
      </c>
    </row>
    <row r="50" spans="1:26" s="10" customFormat="1" x14ac:dyDescent="0.25">
      <c r="A50" s="32"/>
      <c r="B50" s="50"/>
      <c r="C50" s="159"/>
      <c r="D50" s="160"/>
      <c r="E50" s="213"/>
      <c r="F50" s="84"/>
      <c r="G50" s="84"/>
      <c r="H50" s="85">
        <f>SUM(H46:H49)</f>
        <v>34255.050000000003</v>
      </c>
      <c r="I50" s="193">
        <f t="shared" ref="I50:W50" si="23">SUM(I46:I49)</f>
        <v>800</v>
      </c>
      <c r="J50" s="193">
        <f t="shared" si="23"/>
        <v>0</v>
      </c>
      <c r="K50" s="193">
        <f t="shared" si="23"/>
        <v>19487.03</v>
      </c>
      <c r="L50" s="193">
        <f t="shared" si="23"/>
        <v>14768.02</v>
      </c>
      <c r="M50" s="193">
        <f t="shared" si="23"/>
        <v>0.82000000000000006</v>
      </c>
      <c r="N50" s="193">
        <f t="shared" si="23"/>
        <v>2245.7152160000001</v>
      </c>
      <c r="O50" s="193">
        <f t="shared" si="23"/>
        <v>3011.3999999999996</v>
      </c>
      <c r="P50" s="193">
        <f t="shared" si="23"/>
        <v>5257.1152160000001</v>
      </c>
      <c r="Q50" s="193">
        <f t="shared" si="23"/>
        <v>0</v>
      </c>
      <c r="R50" s="193">
        <f t="shared" si="23"/>
        <v>1350</v>
      </c>
      <c r="S50" s="193">
        <f t="shared" si="23"/>
        <v>0</v>
      </c>
      <c r="T50" s="193">
        <f t="shared" si="23"/>
        <v>0</v>
      </c>
      <c r="U50" s="193">
        <f t="shared" si="23"/>
        <v>0</v>
      </c>
      <c r="V50" s="193">
        <f t="shared" si="23"/>
        <v>28447.934784000001</v>
      </c>
      <c r="W50" s="193">
        <f t="shared" si="23"/>
        <v>27647.934784000001</v>
      </c>
      <c r="Y50" s="15">
        <f>+SUM(Y46:Y49)</f>
        <v>28447.934784000001</v>
      </c>
      <c r="Z50" s="15">
        <f>+SUM(Z46:Z49)</f>
        <v>27647.934784000001</v>
      </c>
    </row>
    <row r="51" spans="1:26" s="10" customFormat="1" x14ac:dyDescent="0.25">
      <c r="A51" s="32"/>
      <c r="B51" s="50"/>
      <c r="C51" s="159"/>
      <c r="D51" s="160"/>
      <c r="E51" s="213"/>
      <c r="F51" s="84"/>
      <c r="G51" s="8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Y51" s="14"/>
      <c r="Z51" s="14"/>
    </row>
    <row r="52" spans="1:26" s="10" customFormat="1" ht="18.75" x14ac:dyDescent="0.25">
      <c r="A52" s="266" t="s">
        <v>386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Y52" s="14"/>
      <c r="Z52" s="14"/>
    </row>
    <row r="53" spans="1:26" s="10" customFormat="1" ht="32.25" customHeight="1" x14ac:dyDescent="0.25">
      <c r="A53" s="29" t="s">
        <v>69</v>
      </c>
      <c r="B53" s="223" t="s">
        <v>584</v>
      </c>
      <c r="C53" s="29" t="s">
        <v>17</v>
      </c>
      <c r="D53" s="29" t="s">
        <v>161</v>
      </c>
      <c r="E53" s="29" t="s">
        <v>143</v>
      </c>
      <c r="F53" s="29" t="s">
        <v>27</v>
      </c>
      <c r="G53" s="29" t="s">
        <v>19</v>
      </c>
      <c r="H53" s="29" t="s">
        <v>18</v>
      </c>
      <c r="I53" s="29" t="s">
        <v>66</v>
      </c>
      <c r="J53" s="29" t="s">
        <v>74</v>
      </c>
      <c r="K53" s="47" t="s">
        <v>301</v>
      </c>
      <c r="L53" s="47" t="s">
        <v>302</v>
      </c>
      <c r="M53" s="47" t="s">
        <v>303</v>
      </c>
      <c r="N53" s="47" t="s">
        <v>304</v>
      </c>
      <c r="O53" s="29" t="s">
        <v>305</v>
      </c>
      <c r="P53" s="29" t="s">
        <v>67</v>
      </c>
      <c r="Q53" s="29" t="s">
        <v>68</v>
      </c>
      <c r="R53" s="29" t="s">
        <v>20</v>
      </c>
      <c r="S53" s="29" t="s">
        <v>452</v>
      </c>
      <c r="T53" s="29" t="s">
        <v>72</v>
      </c>
      <c r="U53" s="29" t="s">
        <v>157</v>
      </c>
      <c r="V53" s="29" t="s">
        <v>155</v>
      </c>
      <c r="W53" s="29" t="s">
        <v>156</v>
      </c>
      <c r="Y53" s="14"/>
      <c r="Z53" s="14"/>
    </row>
    <row r="54" spans="1:26" s="10" customFormat="1" x14ac:dyDescent="0.25">
      <c r="A54" s="30">
        <v>29</v>
      </c>
      <c r="B54" s="45">
        <v>1585781399</v>
      </c>
      <c r="C54" s="16" t="s">
        <v>7</v>
      </c>
      <c r="D54" s="18" t="s">
        <v>246</v>
      </c>
      <c r="E54" s="18" t="s">
        <v>121</v>
      </c>
      <c r="F54" s="63">
        <v>15</v>
      </c>
      <c r="G54" s="72">
        <v>745.53</v>
      </c>
      <c r="H54" s="72">
        <f>F54*G54</f>
        <v>11182.949999999999</v>
      </c>
      <c r="I54" s="60"/>
      <c r="J54" s="60"/>
      <c r="K54" s="72">
        <f>VLOOKUP($H$8,Tabisr,1)</f>
        <v>10248.01</v>
      </c>
      <c r="L54" s="68">
        <f>+H54-K54</f>
        <v>934.93999999999869</v>
      </c>
      <c r="M54" s="73">
        <f>VLOOKUP($H$8,Tabisr,4)</f>
        <v>0.23519999999999999</v>
      </c>
      <c r="N54" s="72">
        <f>(H54-10248.01)*23.52%</f>
        <v>219.89788799999968</v>
      </c>
      <c r="O54" s="72">
        <v>1641.75</v>
      </c>
      <c r="P54" s="72">
        <f>O54+N54</f>
        <v>1861.6478879999997</v>
      </c>
      <c r="Q54" s="72"/>
      <c r="R54" s="60"/>
      <c r="S54" s="60"/>
      <c r="T54" s="60"/>
      <c r="U54" s="60">
        <v>1500</v>
      </c>
      <c r="V54" s="68">
        <f>H54+I54+J54-P54+Q54-R54-S54-T54-U54</f>
        <v>7821.3021119999994</v>
      </c>
      <c r="W54" s="68">
        <f>V54-I54</f>
        <v>7821.3021119999994</v>
      </c>
      <c r="Y54" s="14">
        <f>+H54+I54+J54+Q54-P54-R54-S54-T54-U54</f>
        <v>7821.3021119999994</v>
      </c>
      <c r="Z54" s="14">
        <f>+V54-I54</f>
        <v>7821.3021119999994</v>
      </c>
    </row>
    <row r="55" spans="1:26" s="10" customFormat="1" x14ac:dyDescent="0.25">
      <c r="A55" s="30">
        <v>30</v>
      </c>
      <c r="B55" s="45">
        <v>1585781404</v>
      </c>
      <c r="C55" s="16" t="s">
        <v>194</v>
      </c>
      <c r="D55" s="16" t="s">
        <v>175</v>
      </c>
      <c r="E55" s="18" t="s">
        <v>248</v>
      </c>
      <c r="F55" s="63">
        <v>15</v>
      </c>
      <c r="G55" s="72">
        <v>312.26</v>
      </c>
      <c r="H55" s="72">
        <f>F55*G55</f>
        <v>4683.8999999999996</v>
      </c>
      <c r="I55" s="60">
        <v>400</v>
      </c>
      <c r="J55" s="60"/>
      <c r="K55" s="72">
        <f>VLOOKUP($H$367,Tabisr,1)</f>
        <v>5081.01</v>
      </c>
      <c r="L55" s="68">
        <f>+H55-K55</f>
        <v>-397.11000000000058</v>
      </c>
      <c r="M55" s="73">
        <f>VLOOKUP($H$367,Tabisr,4)</f>
        <v>0.21360000000000001</v>
      </c>
      <c r="N55" s="72">
        <f>(H55-4244.01)*17.92%</f>
        <v>78.828287999999901</v>
      </c>
      <c r="O55" s="72">
        <v>388.05</v>
      </c>
      <c r="P55" s="72">
        <f>O55+N55</f>
        <v>466.87828799999988</v>
      </c>
      <c r="Q55" s="72">
        <f>VLOOKUP($H$367,Tabsub,3)</f>
        <v>0</v>
      </c>
      <c r="R55" s="60"/>
      <c r="S55" s="60"/>
      <c r="T55" s="60"/>
      <c r="U55" s="60"/>
      <c r="V55" s="68">
        <f>H55+I55+J55-P55+Q55-R55-T55-U55</f>
        <v>4617.0217119999998</v>
      </c>
      <c r="W55" s="68">
        <f>V55-I55</f>
        <v>4217.0217119999998</v>
      </c>
      <c r="Y55" s="14">
        <f>+H55+I55+J55+Q55-P55-R55-S55-T55-U55</f>
        <v>4617.0217119999998</v>
      </c>
      <c r="Z55" s="14">
        <f>+V55-I55</f>
        <v>4217.0217119999998</v>
      </c>
    </row>
    <row r="56" spans="1:26" s="10" customFormat="1" x14ac:dyDescent="0.25">
      <c r="A56" s="36"/>
      <c r="B56" s="222"/>
      <c r="C56" s="155" t="s">
        <v>614</v>
      </c>
      <c r="D56" s="22" t="s">
        <v>166</v>
      </c>
      <c r="E56" s="22"/>
      <c r="F56" s="78"/>
      <c r="G56" s="79"/>
      <c r="H56" s="79"/>
      <c r="I56" s="79"/>
      <c r="J56" s="36"/>
      <c r="K56" s="79"/>
      <c r="L56" s="81"/>
      <c r="M56" s="82"/>
      <c r="N56" s="79"/>
      <c r="O56" s="79"/>
      <c r="P56" s="79"/>
      <c r="Q56" s="79"/>
      <c r="R56" s="79"/>
      <c r="S56" s="79"/>
      <c r="T56" s="79"/>
      <c r="U56" s="79"/>
      <c r="V56" s="81"/>
      <c r="W56" s="81"/>
      <c r="Y56" s="14">
        <f>+H56+I56+J56+Q56-P56-R56-S56-T56-U56</f>
        <v>0</v>
      </c>
      <c r="Z56" s="14">
        <f>+V56-I56</f>
        <v>0</v>
      </c>
    </row>
    <row r="57" spans="1:26" s="10" customFormat="1" x14ac:dyDescent="0.25">
      <c r="A57" s="32"/>
      <c r="B57" s="50"/>
      <c r="C57" s="153"/>
      <c r="D57" s="26"/>
      <c r="E57" s="212"/>
      <c r="F57" s="69"/>
      <c r="G57" s="70"/>
      <c r="H57" s="76">
        <f>+SUM(H54:H56)</f>
        <v>15866.849999999999</v>
      </c>
      <c r="I57" s="76">
        <f t="shared" ref="I57:O57" si="24">+SUM(I54:I56)</f>
        <v>400</v>
      </c>
      <c r="J57" s="76">
        <f t="shared" si="24"/>
        <v>0</v>
      </c>
      <c r="K57" s="76">
        <f t="shared" si="24"/>
        <v>15329.02</v>
      </c>
      <c r="L57" s="76">
        <f t="shared" si="24"/>
        <v>537.82999999999811</v>
      </c>
      <c r="M57" s="76">
        <f t="shared" si="24"/>
        <v>0.44879999999999998</v>
      </c>
      <c r="N57" s="76">
        <f t="shared" si="24"/>
        <v>298.72617599999955</v>
      </c>
      <c r="O57" s="76">
        <f t="shared" si="24"/>
        <v>2029.8</v>
      </c>
      <c r="P57" s="76">
        <f t="shared" ref="P57:W57" si="25">+SUM(P54:P56)</f>
        <v>2328.5261759999994</v>
      </c>
      <c r="Q57" s="76">
        <f t="shared" si="25"/>
        <v>0</v>
      </c>
      <c r="R57" s="76">
        <f t="shared" si="25"/>
        <v>0</v>
      </c>
      <c r="S57" s="76">
        <f t="shared" si="25"/>
        <v>0</v>
      </c>
      <c r="T57" s="76">
        <f t="shared" si="25"/>
        <v>0</v>
      </c>
      <c r="U57" s="76">
        <f t="shared" si="25"/>
        <v>1500</v>
      </c>
      <c r="V57" s="76">
        <f t="shared" si="25"/>
        <v>12438.323823999999</v>
      </c>
      <c r="W57" s="76">
        <f t="shared" si="25"/>
        <v>12038.323823999999</v>
      </c>
      <c r="Y57" s="15">
        <f>+SUM(Y54:Y56)</f>
        <v>12438.323823999999</v>
      </c>
      <c r="Z57" s="15">
        <f>+SUM(Z54:Z56)</f>
        <v>12038.323823999999</v>
      </c>
    </row>
    <row r="58" spans="1:26" s="10" customFormat="1" x14ac:dyDescent="0.25">
      <c r="A58" s="32"/>
      <c r="B58" s="50"/>
      <c r="C58" s="159"/>
      <c r="D58" s="160"/>
      <c r="E58" s="213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Y58" s="14"/>
      <c r="Z58" s="14"/>
    </row>
    <row r="59" spans="1:26" s="10" customFormat="1" ht="18.75" x14ac:dyDescent="0.25">
      <c r="A59" s="266" t="s">
        <v>387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Y59" s="14"/>
      <c r="Z59" s="14"/>
    </row>
    <row r="60" spans="1:26" s="10" customFormat="1" ht="32.25" customHeight="1" x14ac:dyDescent="0.25">
      <c r="A60" s="29" t="s">
        <v>69</v>
      </c>
      <c r="B60" s="223" t="s">
        <v>584</v>
      </c>
      <c r="C60" s="29" t="s">
        <v>17</v>
      </c>
      <c r="D60" s="29" t="s">
        <v>161</v>
      </c>
      <c r="E60" s="29" t="s">
        <v>143</v>
      </c>
      <c r="F60" s="29" t="s">
        <v>27</v>
      </c>
      <c r="G60" s="29" t="s">
        <v>19</v>
      </c>
      <c r="H60" s="29" t="s">
        <v>18</v>
      </c>
      <c r="I60" s="29" t="s">
        <v>66</v>
      </c>
      <c r="J60" s="29" t="s">
        <v>74</v>
      </c>
      <c r="K60" s="47" t="s">
        <v>301</v>
      </c>
      <c r="L60" s="47" t="s">
        <v>302</v>
      </c>
      <c r="M60" s="47" t="s">
        <v>303</v>
      </c>
      <c r="N60" s="47" t="s">
        <v>304</v>
      </c>
      <c r="O60" s="29" t="s">
        <v>305</v>
      </c>
      <c r="P60" s="29" t="s">
        <v>67</v>
      </c>
      <c r="Q60" s="29" t="s">
        <v>68</v>
      </c>
      <c r="R60" s="29" t="s">
        <v>20</v>
      </c>
      <c r="S60" s="29" t="s">
        <v>452</v>
      </c>
      <c r="T60" s="29" t="s">
        <v>72</v>
      </c>
      <c r="U60" s="29" t="s">
        <v>157</v>
      </c>
      <c r="V60" s="29" t="s">
        <v>155</v>
      </c>
      <c r="W60" s="29" t="s">
        <v>156</v>
      </c>
      <c r="Y60" s="14"/>
      <c r="Z60" s="14"/>
    </row>
    <row r="61" spans="1:26" s="10" customFormat="1" ht="18" x14ac:dyDescent="0.25">
      <c r="A61" s="30">
        <v>32</v>
      </c>
      <c r="B61" s="45">
        <v>1585781411</v>
      </c>
      <c r="C61" s="16" t="s">
        <v>213</v>
      </c>
      <c r="D61" s="158" t="s">
        <v>259</v>
      </c>
      <c r="E61" s="18" t="s">
        <v>225</v>
      </c>
      <c r="F61" s="63">
        <v>15</v>
      </c>
      <c r="G61" s="72">
        <v>943.95</v>
      </c>
      <c r="H61" s="72">
        <f t="shared" ref="H61:H67" si="26">F61*G61</f>
        <v>14159.25</v>
      </c>
      <c r="I61" s="72"/>
      <c r="J61" s="72"/>
      <c r="K61" s="72">
        <v>5081.01</v>
      </c>
      <c r="L61" s="68">
        <f>H61-K61</f>
        <v>9078.24</v>
      </c>
      <c r="M61" s="73">
        <v>0.21360000000000001</v>
      </c>
      <c r="N61" s="72">
        <f>(H61-10248.01)*23.52%</f>
        <v>919.92364799999996</v>
      </c>
      <c r="O61" s="72">
        <v>1641.75</v>
      </c>
      <c r="P61" s="72">
        <f>O61+N61</f>
        <v>2561.673648</v>
      </c>
      <c r="Q61" s="72">
        <f>VLOOKUP($H$61,Tabsub,3)</f>
        <v>0</v>
      </c>
      <c r="R61" s="72">
        <v>5000</v>
      </c>
      <c r="S61" s="72"/>
      <c r="T61" s="72"/>
      <c r="U61" s="72"/>
      <c r="V61" s="68">
        <f>H61+I61+J61-P61+Q61-R61-S61-T61-U61</f>
        <v>6597.576352</v>
      </c>
      <c r="W61" s="68">
        <f t="shared" ref="W61:W72" si="27">V61-I61</f>
        <v>6597.576352</v>
      </c>
      <c r="Y61" s="14">
        <f t="shared" ref="Y61:Y72" si="28">+H61+I61+J61+Q61-P61-R61-S61-T61-U61</f>
        <v>6597.576352</v>
      </c>
      <c r="Z61" s="14">
        <f t="shared" ref="Z61:Z72" si="29">+V61-I61</f>
        <v>6597.576352</v>
      </c>
    </row>
    <row r="62" spans="1:26" s="10" customFormat="1" x14ac:dyDescent="0.25">
      <c r="A62" s="30">
        <v>33</v>
      </c>
      <c r="B62" s="45">
        <v>1585781429</v>
      </c>
      <c r="C62" s="16" t="s">
        <v>414</v>
      </c>
      <c r="D62" s="18" t="s">
        <v>163</v>
      </c>
      <c r="E62" s="16" t="s">
        <v>379</v>
      </c>
      <c r="F62" s="63">
        <v>15</v>
      </c>
      <c r="G62" s="72">
        <v>263.56</v>
      </c>
      <c r="H62" s="72">
        <f t="shared" si="26"/>
        <v>3953.4</v>
      </c>
      <c r="I62" s="60">
        <v>400</v>
      </c>
      <c r="J62" s="60"/>
      <c r="K62" s="72">
        <v>3651.01</v>
      </c>
      <c r="L62" s="68">
        <f>+H62-K62</f>
        <v>302.38999999999987</v>
      </c>
      <c r="M62" s="73">
        <v>0.16</v>
      </c>
      <c r="N62" s="72">
        <f>(H62-3651.01)*16%</f>
        <v>48.382399999999983</v>
      </c>
      <c r="O62" s="72">
        <v>293.25</v>
      </c>
      <c r="P62" s="72">
        <f>O62+N62</f>
        <v>341.63239999999996</v>
      </c>
      <c r="Q62" s="72"/>
      <c r="R62" s="72">
        <v>700</v>
      </c>
      <c r="S62" s="72"/>
      <c r="T62" s="72"/>
      <c r="U62" s="72"/>
      <c r="V62" s="68">
        <f>H62+I62+J62-P62+Q62-R62-S62-T62-U62</f>
        <v>3311.7675999999997</v>
      </c>
      <c r="W62" s="68">
        <f t="shared" si="27"/>
        <v>2911.7675999999997</v>
      </c>
      <c r="Y62" s="14">
        <f t="shared" si="28"/>
        <v>3311.7675999999997</v>
      </c>
      <c r="Z62" s="14">
        <f t="shared" si="29"/>
        <v>2911.7675999999997</v>
      </c>
    </row>
    <row r="63" spans="1:26" s="10" customFormat="1" x14ac:dyDescent="0.25">
      <c r="A63" s="30">
        <v>34</v>
      </c>
      <c r="B63" s="45">
        <v>1197962460</v>
      </c>
      <c r="C63" s="16" t="s">
        <v>214</v>
      </c>
      <c r="D63" s="16" t="s">
        <v>215</v>
      </c>
      <c r="E63" s="18" t="s">
        <v>239</v>
      </c>
      <c r="F63" s="63">
        <v>15</v>
      </c>
      <c r="G63" s="72">
        <v>414.83</v>
      </c>
      <c r="H63" s="72">
        <f t="shared" si="26"/>
        <v>6222.45</v>
      </c>
      <c r="I63" s="72">
        <v>400</v>
      </c>
      <c r="J63" s="72"/>
      <c r="K63" s="72">
        <f>VLOOKUP($H$209,Tabisr,1)</f>
        <v>5081.01</v>
      </c>
      <c r="L63" s="68">
        <f>+H63-K63</f>
        <v>1141.4399999999996</v>
      </c>
      <c r="M63" s="73">
        <f>VLOOKUP($H$209,Tabisr,4)</f>
        <v>0.21360000000000001</v>
      </c>
      <c r="N63" s="72">
        <f>+L63*M63</f>
        <v>243.81158399999993</v>
      </c>
      <c r="O63" s="72">
        <f>VLOOKUP($H$209,Tabisr,3)</f>
        <v>538.20000000000005</v>
      </c>
      <c r="P63" s="72">
        <f>+N63+O63</f>
        <v>782.01158399999997</v>
      </c>
      <c r="Q63" s="72">
        <f>VLOOKUP($H$367,Tabsub,3)</f>
        <v>0</v>
      </c>
      <c r="R63" s="72"/>
      <c r="S63" s="72"/>
      <c r="T63" s="72"/>
      <c r="U63" s="72"/>
      <c r="V63" s="68">
        <f>H63+I63+J63-P63+Q63-R63-S63-T63-U63</f>
        <v>5840.438416</v>
      </c>
      <c r="W63" s="68">
        <f t="shared" si="27"/>
        <v>5440.438416</v>
      </c>
      <c r="Y63" s="14">
        <f t="shared" si="28"/>
        <v>5840.438416</v>
      </c>
      <c r="Z63" s="14">
        <f t="shared" si="29"/>
        <v>5440.438416</v>
      </c>
    </row>
    <row r="64" spans="1:26" s="10" customFormat="1" x14ac:dyDescent="0.25">
      <c r="A64" s="30">
        <v>35</v>
      </c>
      <c r="B64" s="45">
        <v>2999576282</v>
      </c>
      <c r="C64" s="16" t="s">
        <v>352</v>
      </c>
      <c r="D64" s="16" t="s">
        <v>457</v>
      </c>
      <c r="E64" s="18" t="s">
        <v>353</v>
      </c>
      <c r="F64" s="63">
        <v>15</v>
      </c>
      <c r="G64" s="60">
        <v>414.83</v>
      </c>
      <c r="H64" s="61">
        <f t="shared" si="26"/>
        <v>6222.45</v>
      </c>
      <c r="I64" s="60">
        <v>400</v>
      </c>
      <c r="J64" s="60"/>
      <c r="K64" s="60">
        <f>VLOOKUP($H$209,Tabisr,1)</f>
        <v>5081.01</v>
      </c>
      <c r="L64" s="61">
        <f>+H64-K64</f>
        <v>1141.4399999999996</v>
      </c>
      <c r="M64" s="62">
        <f>VLOOKUP($H$209,Tabisr,4)</f>
        <v>0.21360000000000001</v>
      </c>
      <c r="N64" s="60">
        <f>+L64*M64</f>
        <v>243.81158399999993</v>
      </c>
      <c r="O64" s="60">
        <f>VLOOKUP($H$209,Tabisr,3)</f>
        <v>538.20000000000005</v>
      </c>
      <c r="P64" s="60">
        <f>+N64+O64</f>
        <v>782.01158399999997</v>
      </c>
      <c r="Q64" s="60">
        <f>VLOOKUP($H$367,Tabsub,3)</f>
        <v>0</v>
      </c>
      <c r="R64" s="60"/>
      <c r="S64" s="60"/>
      <c r="T64" s="60"/>
      <c r="U64" s="60"/>
      <c r="V64" s="68">
        <f>H64+I64+J64-P64+Q64-R64-S64-T64-U64</f>
        <v>5840.438416</v>
      </c>
      <c r="W64" s="61">
        <f t="shared" si="27"/>
        <v>5440.438416</v>
      </c>
      <c r="Y64" s="14">
        <f t="shared" si="28"/>
        <v>5840.438416</v>
      </c>
      <c r="Z64" s="14">
        <f t="shared" si="29"/>
        <v>5440.438416</v>
      </c>
    </row>
    <row r="65" spans="1:26" s="10" customFormat="1" x14ac:dyDescent="0.25">
      <c r="A65" s="31">
        <v>31</v>
      </c>
      <c r="B65" s="154">
        <v>2855196051</v>
      </c>
      <c r="C65" s="16" t="s">
        <v>32</v>
      </c>
      <c r="D65" s="152" t="s">
        <v>648</v>
      </c>
      <c r="E65" s="152" t="s">
        <v>103</v>
      </c>
      <c r="F65" s="63">
        <v>15</v>
      </c>
      <c r="G65" s="64">
        <v>312.26</v>
      </c>
      <c r="H65" s="64">
        <f t="shared" si="26"/>
        <v>4683.8999999999996</v>
      </c>
      <c r="I65" s="64">
        <v>400</v>
      </c>
      <c r="J65" s="31"/>
      <c r="K65" s="64">
        <f>VLOOKUP($H$69,Tabisr,1)</f>
        <v>5081.01</v>
      </c>
      <c r="L65" s="66">
        <f t="shared" ref="L65" si="30">+H65-K65</f>
        <v>-397.11000000000058</v>
      </c>
      <c r="M65" s="67">
        <f>VLOOKUP($H$69,Tabisr,4)</f>
        <v>0.21360000000000001</v>
      </c>
      <c r="N65" s="64">
        <f>(H65-4244.01)*17.92%</f>
        <v>78.828287999999901</v>
      </c>
      <c r="O65" s="64">
        <v>388.05</v>
      </c>
      <c r="P65" s="64">
        <f>O65+N65</f>
        <v>466.87828799999988</v>
      </c>
      <c r="Q65" s="64">
        <f>VLOOKUP($H$69,Tabsub,3)</f>
        <v>0</v>
      </c>
      <c r="R65" s="64"/>
      <c r="S65" s="64"/>
      <c r="T65" s="64"/>
      <c r="U65" s="64"/>
      <c r="V65" s="66">
        <f t="shared" ref="V65" si="31">H65+I65+J65-P65+Q65-R65-S65-T65-U65</f>
        <v>4617.0217119999998</v>
      </c>
      <c r="W65" s="66">
        <f t="shared" ref="W65" si="32">V65-I65</f>
        <v>4217.0217119999998</v>
      </c>
      <c r="Y65" s="14">
        <f>+H65+I65+J65+Q65-P65-R65-S65-T65-U65</f>
        <v>4617.0217119999998</v>
      </c>
      <c r="Z65" s="14">
        <f>+V65-I65</f>
        <v>4217.0217119999998</v>
      </c>
    </row>
    <row r="66" spans="1:26" s="10" customFormat="1" x14ac:dyDescent="0.25">
      <c r="A66" s="30">
        <v>36</v>
      </c>
      <c r="B66" s="45">
        <v>1585781437</v>
      </c>
      <c r="C66" s="16" t="s">
        <v>526</v>
      </c>
      <c r="D66" s="16" t="s">
        <v>528</v>
      </c>
      <c r="E66" s="18" t="s">
        <v>527</v>
      </c>
      <c r="F66" s="63">
        <v>15</v>
      </c>
      <c r="G66" s="72">
        <v>626.19000000000005</v>
      </c>
      <c r="H66" s="72">
        <f t="shared" si="26"/>
        <v>9392.85</v>
      </c>
      <c r="I66" s="72"/>
      <c r="J66" s="83"/>
      <c r="K66" s="72">
        <v>5081</v>
      </c>
      <c r="L66" s="68">
        <f>+H66-K66</f>
        <v>4311.8500000000004</v>
      </c>
      <c r="M66" s="73">
        <v>0.21360000000000001</v>
      </c>
      <c r="N66" s="72">
        <f>(H66-5081.01)*21.36%</f>
        <v>921.00902399999995</v>
      </c>
      <c r="O66" s="72">
        <v>538.20000000000005</v>
      </c>
      <c r="P66" s="144">
        <f>N66+O66</f>
        <v>1459.209024</v>
      </c>
      <c r="Q66" s="72"/>
      <c r="R66" s="72"/>
      <c r="S66" s="72"/>
      <c r="T66" s="72"/>
      <c r="U66" s="72"/>
      <c r="V66" s="68">
        <f>H66+I66+J66-P66+Q66-R66-T66-U66</f>
        <v>7933.6409760000006</v>
      </c>
      <c r="W66" s="68">
        <f t="shared" si="27"/>
        <v>7933.6409760000006</v>
      </c>
      <c r="Y66" s="14">
        <f t="shared" si="28"/>
        <v>7933.6409760000006</v>
      </c>
      <c r="Z66" s="14">
        <f t="shared" si="29"/>
        <v>7933.6409760000006</v>
      </c>
    </row>
    <row r="67" spans="1:26" s="10" customFormat="1" x14ac:dyDescent="0.25">
      <c r="A67" s="30">
        <v>37</v>
      </c>
      <c r="B67" s="45">
        <v>1585781445</v>
      </c>
      <c r="C67" s="16" t="s">
        <v>581</v>
      </c>
      <c r="D67" s="16" t="s">
        <v>628</v>
      </c>
      <c r="E67" s="20" t="s">
        <v>582</v>
      </c>
      <c r="F67" s="63">
        <v>15</v>
      </c>
      <c r="G67" s="72">
        <v>626.19000000000005</v>
      </c>
      <c r="H67" s="72">
        <f t="shared" si="26"/>
        <v>9392.85</v>
      </c>
      <c r="I67" s="72"/>
      <c r="J67" s="83"/>
      <c r="K67" s="72">
        <v>5081</v>
      </c>
      <c r="L67" s="68">
        <f>+H67-K67</f>
        <v>4311.8500000000004</v>
      </c>
      <c r="M67" s="73">
        <v>0.21360000000000001</v>
      </c>
      <c r="N67" s="72">
        <f>(H67-5081.01)*21.36%</f>
        <v>921.00902399999995</v>
      </c>
      <c r="O67" s="72">
        <v>538.20000000000005</v>
      </c>
      <c r="P67" s="144">
        <f>N67+O67</f>
        <v>1459.209024</v>
      </c>
      <c r="Q67" s="72"/>
      <c r="R67" s="72"/>
      <c r="S67" s="72"/>
      <c r="T67" s="72"/>
      <c r="U67" s="72"/>
      <c r="V67" s="68">
        <f>H67+I67+J67-P67+Q67-R67-T67-U67</f>
        <v>7933.6409760000006</v>
      </c>
      <c r="W67" s="68">
        <f t="shared" si="27"/>
        <v>7933.6409760000006</v>
      </c>
      <c r="Y67" s="14">
        <f t="shared" si="28"/>
        <v>7933.6409760000006</v>
      </c>
      <c r="Z67" s="14">
        <f t="shared" si="29"/>
        <v>7933.6409760000006</v>
      </c>
    </row>
    <row r="68" spans="1:26" s="10" customFormat="1" x14ac:dyDescent="0.25">
      <c r="A68" s="35">
        <v>38</v>
      </c>
      <c r="B68" s="45">
        <v>1585781453</v>
      </c>
      <c r="C68" s="16" t="s">
        <v>276</v>
      </c>
      <c r="D68" s="18" t="s">
        <v>673</v>
      </c>
      <c r="E68" s="20" t="s">
        <v>277</v>
      </c>
      <c r="F68" s="63">
        <v>15</v>
      </c>
      <c r="G68" s="64">
        <v>414.83</v>
      </c>
      <c r="H68" s="64">
        <f t="shared" ref="H68" si="33">F68*G68</f>
        <v>6222.45</v>
      </c>
      <c r="I68" s="64">
        <v>400</v>
      </c>
      <c r="J68" s="31"/>
      <c r="K68" s="64">
        <f>VLOOKUP($H$69,Tabisr,1)</f>
        <v>5081.01</v>
      </c>
      <c r="L68" s="66">
        <f t="shared" ref="L68" si="34">+H68-K68</f>
        <v>1141.4399999999996</v>
      </c>
      <c r="M68" s="67">
        <f>VLOOKUP($H$69,Tabisr,4)</f>
        <v>0.21360000000000001</v>
      </c>
      <c r="N68" s="64">
        <f>(H68-4244.01)*17.92%</f>
        <v>354.53644800000001</v>
      </c>
      <c r="O68" s="64">
        <v>388.05</v>
      </c>
      <c r="P68" s="64">
        <f>O68+N68</f>
        <v>742.58644800000002</v>
      </c>
      <c r="Q68" s="64">
        <f>VLOOKUP($H$69,Tabsub,3)</f>
        <v>0</v>
      </c>
      <c r="R68" s="64"/>
      <c r="S68" s="64"/>
      <c r="T68" s="64"/>
      <c r="U68" s="64"/>
      <c r="V68" s="66">
        <f t="shared" ref="V68" si="35">H68+I68+J68-P68+Q68-R68-S68-T68-U68</f>
        <v>5879.8635519999998</v>
      </c>
      <c r="W68" s="66">
        <f t="shared" si="27"/>
        <v>5479.8635519999998</v>
      </c>
      <c r="Y68" s="14">
        <f t="shared" si="28"/>
        <v>5879.8635519999998</v>
      </c>
      <c r="Z68" s="14">
        <f t="shared" si="29"/>
        <v>5479.8635519999998</v>
      </c>
    </row>
    <row r="69" spans="1:26" s="10" customFormat="1" x14ac:dyDescent="0.25">
      <c r="A69" s="30">
        <v>39</v>
      </c>
      <c r="B69" s="45">
        <v>1585781462</v>
      </c>
      <c r="C69" s="16" t="s">
        <v>455</v>
      </c>
      <c r="D69" s="16" t="s">
        <v>275</v>
      </c>
      <c r="E69" s="18" t="s">
        <v>456</v>
      </c>
      <c r="F69" s="63">
        <v>15</v>
      </c>
      <c r="G69" s="72">
        <v>414.83</v>
      </c>
      <c r="H69" s="72">
        <f t="shared" ref="H69:H72" si="36">F69*G69</f>
        <v>6222.45</v>
      </c>
      <c r="I69" s="72">
        <v>400</v>
      </c>
      <c r="J69" s="72"/>
      <c r="K69" s="72">
        <f>VLOOKUP($H$209,Tabisr,1)</f>
        <v>5081.01</v>
      </c>
      <c r="L69" s="68">
        <f>+H69-K69</f>
        <v>1141.4399999999996</v>
      </c>
      <c r="M69" s="73">
        <f>VLOOKUP($H$209,Tabisr,4)</f>
        <v>0.21360000000000001</v>
      </c>
      <c r="N69" s="72">
        <f>+L69*M69</f>
        <v>243.81158399999993</v>
      </c>
      <c r="O69" s="72">
        <f>VLOOKUP($H$209,Tabisr,3)</f>
        <v>538.20000000000005</v>
      </c>
      <c r="P69" s="72">
        <f>+N69+O69</f>
        <v>782.01158399999997</v>
      </c>
      <c r="Q69" s="72">
        <f>VLOOKUP($H$367,Tabsub,3)</f>
        <v>0</v>
      </c>
      <c r="R69" s="72"/>
      <c r="S69" s="72"/>
      <c r="T69" s="72"/>
      <c r="U69" s="72"/>
      <c r="V69" s="68">
        <f t="shared" ref="V69:V72" si="37">H69+I69+J69-P69+Q69-R69-S69-T69-U69</f>
        <v>5840.438416</v>
      </c>
      <c r="W69" s="68">
        <f t="shared" si="27"/>
        <v>5440.438416</v>
      </c>
      <c r="Y69" s="14">
        <f t="shared" si="28"/>
        <v>5840.438416</v>
      </c>
      <c r="Z69" s="14">
        <f t="shared" si="29"/>
        <v>5440.438416</v>
      </c>
    </row>
    <row r="70" spans="1:26" s="10" customFormat="1" x14ac:dyDescent="0.25">
      <c r="A70" s="30">
        <v>41</v>
      </c>
      <c r="B70" s="45">
        <v>1585781488</v>
      </c>
      <c r="C70" s="16" t="s">
        <v>8</v>
      </c>
      <c r="D70" s="158" t="s">
        <v>181</v>
      </c>
      <c r="E70" s="18" t="s">
        <v>122</v>
      </c>
      <c r="F70" s="63">
        <v>15</v>
      </c>
      <c r="G70" s="72">
        <v>263.56</v>
      </c>
      <c r="H70" s="72">
        <f t="shared" si="36"/>
        <v>3953.4</v>
      </c>
      <c r="I70" s="72">
        <v>400</v>
      </c>
      <c r="J70" s="72"/>
      <c r="K70" s="72">
        <f>VLOOKUP($H$70,Tabisr,1)</f>
        <v>3651.01</v>
      </c>
      <c r="L70" s="68">
        <f t="shared" ref="L70:L72" si="38">+H70-K70</f>
        <v>302.38999999999987</v>
      </c>
      <c r="M70" s="73">
        <f>VLOOKUP($H$70,Tabisr,4)</f>
        <v>0.16</v>
      </c>
      <c r="N70" s="72">
        <f>(H70-3651.01)*16%</f>
        <v>48.382399999999983</v>
      </c>
      <c r="O70" s="72">
        <v>293.25</v>
      </c>
      <c r="P70" s="72">
        <f>O70+N70</f>
        <v>341.63239999999996</v>
      </c>
      <c r="Q70" s="72">
        <f>VLOOKUP($H$70,Tabsub,3)</f>
        <v>0</v>
      </c>
      <c r="R70" s="72">
        <v>1470</v>
      </c>
      <c r="S70" s="72"/>
      <c r="T70" s="88"/>
      <c r="U70" s="88"/>
      <c r="V70" s="68">
        <f t="shared" si="37"/>
        <v>2541.7675999999997</v>
      </c>
      <c r="W70" s="68">
        <f t="shared" si="27"/>
        <v>2141.7675999999997</v>
      </c>
      <c r="Y70" s="14">
        <f t="shared" si="28"/>
        <v>2541.7675999999997</v>
      </c>
      <c r="Z70" s="14">
        <f t="shared" si="29"/>
        <v>2141.7675999999997</v>
      </c>
    </row>
    <row r="71" spans="1:26" s="10" customFormat="1" x14ac:dyDescent="0.25">
      <c r="A71" s="30">
        <v>42</v>
      </c>
      <c r="B71" s="45">
        <v>2917863608</v>
      </c>
      <c r="C71" s="16" t="s">
        <v>418</v>
      </c>
      <c r="D71" s="18" t="s">
        <v>362</v>
      </c>
      <c r="E71" s="18" t="s">
        <v>152</v>
      </c>
      <c r="F71" s="63">
        <v>15</v>
      </c>
      <c r="G71" s="72">
        <v>312.26</v>
      </c>
      <c r="H71" s="72">
        <f t="shared" si="36"/>
        <v>4683.8999999999996</v>
      </c>
      <c r="I71" s="72">
        <v>400</v>
      </c>
      <c r="J71" s="72"/>
      <c r="K71" s="72">
        <f>VLOOKUP($H$69,Tabisr,1)</f>
        <v>5081.01</v>
      </c>
      <c r="L71" s="68">
        <f t="shared" si="38"/>
        <v>-397.11000000000058</v>
      </c>
      <c r="M71" s="73">
        <f>VLOOKUP($H$69,Tabisr,4)</f>
        <v>0.21360000000000001</v>
      </c>
      <c r="N71" s="72">
        <f>(H71-4244.01)*17.92%</f>
        <v>78.828287999999901</v>
      </c>
      <c r="O71" s="72">
        <v>388.05</v>
      </c>
      <c r="P71" s="72">
        <f>O71+N71</f>
        <v>466.87828799999988</v>
      </c>
      <c r="Q71" s="72">
        <f>VLOOKUP($H$69,Tabsub,3)</f>
        <v>0</v>
      </c>
      <c r="R71" s="72"/>
      <c r="S71" s="72"/>
      <c r="T71" s="72"/>
      <c r="U71" s="72"/>
      <c r="V71" s="68">
        <f t="shared" si="37"/>
        <v>4617.0217119999998</v>
      </c>
      <c r="W71" s="68">
        <f t="shared" si="27"/>
        <v>4217.0217119999998</v>
      </c>
      <c r="Y71" s="14">
        <f t="shared" si="28"/>
        <v>4617.0217119999998</v>
      </c>
      <c r="Z71" s="14">
        <f t="shared" si="29"/>
        <v>4217.0217119999998</v>
      </c>
    </row>
    <row r="72" spans="1:26" s="10" customFormat="1" x14ac:dyDescent="0.25">
      <c r="A72" s="30">
        <v>43</v>
      </c>
      <c r="B72" s="45">
        <v>1585781496</v>
      </c>
      <c r="C72" s="16" t="s">
        <v>46</v>
      </c>
      <c r="D72" s="16" t="s">
        <v>163</v>
      </c>
      <c r="E72" s="18" t="s">
        <v>125</v>
      </c>
      <c r="F72" s="63">
        <v>15</v>
      </c>
      <c r="G72" s="87">
        <v>263.56</v>
      </c>
      <c r="H72" s="72">
        <f t="shared" si="36"/>
        <v>3953.4</v>
      </c>
      <c r="I72" s="72">
        <v>400</v>
      </c>
      <c r="J72" s="72"/>
      <c r="K72" s="72">
        <f>VLOOKUP($H$72,Tabisr,1)</f>
        <v>3651.01</v>
      </c>
      <c r="L72" s="68">
        <f t="shared" si="38"/>
        <v>302.38999999999987</v>
      </c>
      <c r="M72" s="73">
        <f>VLOOKUP($H$72,Tabisr,4)</f>
        <v>0.16</v>
      </c>
      <c r="N72" s="72">
        <f>(H72-3651.01)*16%</f>
        <v>48.382399999999983</v>
      </c>
      <c r="O72" s="72">
        <v>293.25</v>
      </c>
      <c r="P72" s="72">
        <f>O72+N72</f>
        <v>341.63239999999996</v>
      </c>
      <c r="Q72" s="72">
        <f>VLOOKUP($H$72,Tabsub,3)</f>
        <v>0</v>
      </c>
      <c r="R72" s="72">
        <v>1250</v>
      </c>
      <c r="S72" s="72"/>
      <c r="T72" s="72"/>
      <c r="U72" s="72"/>
      <c r="V72" s="68">
        <f t="shared" si="37"/>
        <v>2761.7675999999997</v>
      </c>
      <c r="W72" s="68">
        <f t="shared" si="27"/>
        <v>2361.7675999999997</v>
      </c>
      <c r="Y72" s="14">
        <f t="shared" si="28"/>
        <v>2761.7675999999997</v>
      </c>
      <c r="Z72" s="14">
        <f t="shared" si="29"/>
        <v>2361.7675999999997</v>
      </c>
    </row>
    <row r="73" spans="1:26" s="10" customFormat="1" x14ac:dyDescent="0.25">
      <c r="A73" s="32"/>
      <c r="B73" s="50"/>
      <c r="C73" s="159"/>
      <c r="D73" s="160"/>
      <c r="E73" s="213"/>
      <c r="F73" s="84" t="s">
        <v>529</v>
      </c>
      <c r="G73" s="84"/>
      <c r="H73" s="85">
        <f>SUM(H61:H72)</f>
        <v>79062.749999999985</v>
      </c>
      <c r="I73" s="85">
        <f>SUM(I61:I72)</f>
        <v>3600</v>
      </c>
      <c r="J73" s="85">
        <f t="shared" ref="J73:W73" si="39">SUM(J61:J72)</f>
        <v>0</v>
      </c>
      <c r="K73" s="85">
        <f t="shared" si="39"/>
        <v>56682.100000000013</v>
      </c>
      <c r="L73" s="85">
        <f t="shared" si="39"/>
        <v>22380.649999999994</v>
      </c>
      <c r="M73" s="85">
        <f t="shared" si="39"/>
        <v>2.4024000000000005</v>
      </c>
      <c r="N73" s="85">
        <f t="shared" si="39"/>
        <v>4150.7166720000005</v>
      </c>
      <c r="O73" s="85">
        <f t="shared" si="39"/>
        <v>6376.65</v>
      </c>
      <c r="P73" s="85">
        <f t="shared" si="39"/>
        <v>10527.366672</v>
      </c>
      <c r="Q73" s="85">
        <f t="shared" si="39"/>
        <v>0</v>
      </c>
      <c r="R73" s="85">
        <f t="shared" si="39"/>
        <v>8420</v>
      </c>
      <c r="S73" s="85">
        <f t="shared" si="39"/>
        <v>0</v>
      </c>
      <c r="T73" s="85">
        <f t="shared" si="39"/>
        <v>0</v>
      </c>
      <c r="U73" s="85">
        <f t="shared" si="39"/>
        <v>0</v>
      </c>
      <c r="V73" s="85">
        <f t="shared" si="39"/>
        <v>63715.383328000004</v>
      </c>
      <c r="W73" s="85">
        <f t="shared" si="39"/>
        <v>60115.383328000004</v>
      </c>
      <c r="Y73" s="15">
        <f>+SUM(Y61:Y72)</f>
        <v>63715.383328000004</v>
      </c>
      <c r="Z73" s="15">
        <f>+SUM(Z61:Z72)</f>
        <v>60115.383328000004</v>
      </c>
    </row>
    <row r="74" spans="1:26" s="10" customFormat="1" x14ac:dyDescent="0.25">
      <c r="A74" s="32"/>
      <c r="B74" s="50"/>
      <c r="C74" s="159"/>
      <c r="D74" s="160"/>
      <c r="E74" s="213"/>
      <c r="F74" s="84"/>
      <c r="G74" s="84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Y74" s="15"/>
      <c r="Z74" s="15"/>
    </row>
    <row r="75" spans="1:26" s="10" customFormat="1" ht="18.75" x14ac:dyDescent="0.25">
      <c r="A75" s="266" t="s">
        <v>645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Y75" s="15"/>
      <c r="Z75" s="15"/>
    </row>
    <row r="76" spans="1:26" s="10" customFormat="1" ht="33.75" customHeight="1" x14ac:dyDescent="0.25">
      <c r="A76" s="29" t="s">
        <v>69</v>
      </c>
      <c r="B76" s="223" t="s">
        <v>584</v>
      </c>
      <c r="C76" s="29" t="s">
        <v>17</v>
      </c>
      <c r="D76" s="29" t="s">
        <v>161</v>
      </c>
      <c r="E76" s="29" t="s">
        <v>143</v>
      </c>
      <c r="F76" s="29" t="s">
        <v>27</v>
      </c>
      <c r="G76" s="29" t="s">
        <v>19</v>
      </c>
      <c r="H76" s="29" t="s">
        <v>18</v>
      </c>
      <c r="I76" s="29" t="s">
        <v>66</v>
      </c>
      <c r="J76" s="29" t="s">
        <v>74</v>
      </c>
      <c r="K76" s="47" t="s">
        <v>301</v>
      </c>
      <c r="L76" s="47" t="s">
        <v>302</v>
      </c>
      <c r="M76" s="47" t="s">
        <v>303</v>
      </c>
      <c r="N76" s="47" t="s">
        <v>304</v>
      </c>
      <c r="O76" s="29" t="s">
        <v>305</v>
      </c>
      <c r="P76" s="29" t="s">
        <v>67</v>
      </c>
      <c r="Q76" s="29" t="s">
        <v>68</v>
      </c>
      <c r="R76" s="29" t="s">
        <v>20</v>
      </c>
      <c r="S76" s="29" t="s">
        <v>452</v>
      </c>
      <c r="T76" s="29" t="s">
        <v>72</v>
      </c>
      <c r="U76" s="29" t="s">
        <v>157</v>
      </c>
      <c r="V76" s="29" t="s">
        <v>155</v>
      </c>
      <c r="W76" s="29" t="s">
        <v>156</v>
      </c>
      <c r="Y76" s="15"/>
      <c r="Z76" s="15"/>
    </row>
    <row r="77" spans="1:26" s="10" customFormat="1" x14ac:dyDescent="0.25">
      <c r="A77" s="38">
        <v>212</v>
      </c>
      <c r="B77" s="45">
        <v>1585782727</v>
      </c>
      <c r="C77" s="16" t="s">
        <v>205</v>
      </c>
      <c r="D77" s="16" t="s">
        <v>645</v>
      </c>
      <c r="E77" s="162" t="s">
        <v>513</v>
      </c>
      <c r="F77" s="38">
        <v>15</v>
      </c>
      <c r="G77" s="100">
        <v>414.83</v>
      </c>
      <c r="H77" s="101">
        <f t="shared" ref="H77" si="40">F77*G77</f>
        <v>6222.45</v>
      </c>
      <c r="I77" s="101">
        <v>400</v>
      </c>
      <c r="J77" s="101"/>
      <c r="K77" s="101">
        <v>5081</v>
      </c>
      <c r="L77" s="101">
        <f>+H77-K77</f>
        <v>1141.4499999999998</v>
      </c>
      <c r="M77" s="101">
        <v>0.21360000000000001</v>
      </c>
      <c r="N77" s="101">
        <f>(H77-5081.01)*21.36%</f>
        <v>243.8115839999999</v>
      </c>
      <c r="O77" s="101">
        <v>538.20000000000005</v>
      </c>
      <c r="P77" s="101">
        <f>N77+O77</f>
        <v>782.01158399999997</v>
      </c>
      <c r="Q77" s="110"/>
      <c r="R77" s="110"/>
      <c r="S77" s="64">
        <v>1097</v>
      </c>
      <c r="T77" s="64"/>
      <c r="U77" s="64"/>
      <c r="V77" s="64">
        <f>H77+I77+J77-P77+Q77-R77-S77-T77-U77</f>
        <v>4743.438416</v>
      </c>
      <c r="W77" s="64">
        <f>V77-I77</f>
        <v>4343.438416</v>
      </c>
      <c r="Y77" s="14">
        <f>+H77+I77+J77+Q77-P77-R77-S77-T77-U77</f>
        <v>4743.438416</v>
      </c>
      <c r="Z77" s="14">
        <f>+V77-I77</f>
        <v>4343.438416</v>
      </c>
    </row>
    <row r="78" spans="1:26" s="12" customFormat="1" x14ac:dyDescent="0.25">
      <c r="A78" s="38">
        <v>213</v>
      </c>
      <c r="B78" s="45">
        <v>1585782735</v>
      </c>
      <c r="C78" s="16" t="s">
        <v>587</v>
      </c>
      <c r="D78" s="16" t="s">
        <v>163</v>
      </c>
      <c r="E78" s="162" t="s">
        <v>599</v>
      </c>
      <c r="F78" s="38">
        <v>15</v>
      </c>
      <c r="G78" s="100">
        <v>263.56</v>
      </c>
      <c r="H78" s="101">
        <f>F78*G78</f>
        <v>3953.4</v>
      </c>
      <c r="I78" s="101">
        <v>400</v>
      </c>
      <c r="J78" s="101"/>
      <c r="K78" s="101">
        <v>309.77999999999997</v>
      </c>
      <c r="L78" s="101"/>
      <c r="M78" s="101">
        <v>1050</v>
      </c>
      <c r="N78" s="101"/>
      <c r="O78" s="101"/>
      <c r="P78" s="101">
        <v>309.77999999999997</v>
      </c>
      <c r="Q78" s="101"/>
      <c r="R78" s="101"/>
      <c r="S78" s="72"/>
      <c r="T78" s="72"/>
      <c r="U78" s="72"/>
      <c r="V78" s="72">
        <f>H78+I78+J78-P78+Q78-R78-S78-T78-U78</f>
        <v>4043.62</v>
      </c>
      <c r="W78" s="72">
        <f>V78-I78</f>
        <v>3643.62</v>
      </c>
      <c r="Y78" s="24">
        <f>+H78+I78+J78+Q78-P78-R78-S78-T78-U78</f>
        <v>4043.62</v>
      </c>
      <c r="Z78" s="24">
        <f>+V78-I78</f>
        <v>3643.62</v>
      </c>
    </row>
    <row r="79" spans="1:26" s="10" customFormat="1" x14ac:dyDescent="0.25">
      <c r="A79" s="30">
        <v>40</v>
      </c>
      <c r="B79" s="45">
        <v>1585781470</v>
      </c>
      <c r="C79" s="16" t="s">
        <v>499</v>
      </c>
      <c r="D79" s="158" t="s">
        <v>646</v>
      </c>
      <c r="E79" s="18" t="s">
        <v>500</v>
      </c>
      <c r="F79" s="63">
        <v>15</v>
      </c>
      <c r="G79" s="72">
        <v>312.26</v>
      </c>
      <c r="H79" s="72">
        <f>F79*G79</f>
        <v>4683.8999999999996</v>
      </c>
      <c r="I79" s="72">
        <v>400</v>
      </c>
      <c r="J79" s="72"/>
      <c r="K79" s="72">
        <f>VLOOKUP($H$69,Tabisr,1)</f>
        <v>5081.01</v>
      </c>
      <c r="L79" s="68">
        <f>+H79-K79</f>
        <v>-397.11000000000058</v>
      </c>
      <c r="M79" s="73">
        <f>VLOOKUP($H$69,Tabisr,4)</f>
        <v>0.21360000000000001</v>
      </c>
      <c r="N79" s="72">
        <f>(H79-4244.01)*17.92%</f>
        <v>78.828287999999901</v>
      </c>
      <c r="O79" s="72">
        <v>388.05</v>
      </c>
      <c r="P79" s="72">
        <f>N79+O79</f>
        <v>466.87828799999988</v>
      </c>
      <c r="Q79" s="72">
        <f>VLOOKUP($H$241,Tabsub,3)</f>
        <v>0</v>
      </c>
      <c r="R79" s="72"/>
      <c r="S79" s="72">
        <v>643</v>
      </c>
      <c r="T79" s="72"/>
      <c r="U79" s="72"/>
      <c r="V79" s="68">
        <f>H79+I79+J79-P79+Q79-R79-S79-T79-U79</f>
        <v>3974.0217119999998</v>
      </c>
      <c r="W79" s="68">
        <f>V79-I79</f>
        <v>3574.0217119999998</v>
      </c>
      <c r="Y79" s="14">
        <f>+H79+I79+J79+Q79-P79-R79-S79-T79-U79</f>
        <v>3974.0217119999998</v>
      </c>
      <c r="Z79" s="14">
        <f>+V79-I79</f>
        <v>3574.0217119999998</v>
      </c>
    </row>
    <row r="80" spans="1:26" s="10" customFormat="1" x14ac:dyDescent="0.25">
      <c r="A80" s="30">
        <v>27</v>
      </c>
      <c r="B80" s="45">
        <v>1585781374</v>
      </c>
      <c r="C80" s="148" t="s">
        <v>598</v>
      </c>
      <c r="D80" s="157" t="s">
        <v>647</v>
      </c>
      <c r="E80" s="20" t="s">
        <v>601</v>
      </c>
      <c r="F80" s="63">
        <v>15</v>
      </c>
      <c r="G80" s="72">
        <v>263.56</v>
      </c>
      <c r="H80" s="72">
        <f>F80*G80</f>
        <v>3953.4</v>
      </c>
      <c r="I80" s="72">
        <v>400</v>
      </c>
      <c r="J80" s="72"/>
      <c r="K80" s="72">
        <v>4244.01</v>
      </c>
      <c r="L80" s="68">
        <f>+H80-K80</f>
        <v>-290.61000000000013</v>
      </c>
      <c r="M80" s="73">
        <v>0.1792</v>
      </c>
      <c r="N80" s="72">
        <f>(H80-3651.01)*16%</f>
        <v>48.382399999999983</v>
      </c>
      <c r="O80" s="72">
        <v>293.25</v>
      </c>
      <c r="P80" s="72">
        <f>O80+N80</f>
        <v>341.63239999999996</v>
      </c>
      <c r="Q80" s="72"/>
      <c r="R80" s="72"/>
      <c r="S80" s="72"/>
      <c r="T80" s="72"/>
      <c r="U80" s="72"/>
      <c r="V80" s="68">
        <f>H80+I80+J80-P80+Q80-R80-T80-U80</f>
        <v>4011.7675999999997</v>
      </c>
      <c r="W80" s="68">
        <f>V80-I80</f>
        <v>3611.7675999999997</v>
      </c>
      <c r="Y80" s="14">
        <f>+H80+I80+J80+Q80-P80-R80-S80-T80-U80</f>
        <v>4011.7675999999997</v>
      </c>
      <c r="Z80" s="14">
        <f>+V80-I80</f>
        <v>3611.7675999999997</v>
      </c>
    </row>
    <row r="81" spans="1:26" s="10" customFormat="1" x14ac:dyDescent="0.25">
      <c r="A81" s="40"/>
      <c r="B81" s="54"/>
      <c r="C81" s="204"/>
      <c r="D81" s="205"/>
      <c r="E81" s="206"/>
      <c r="F81" s="207"/>
      <c r="G81" s="208"/>
      <c r="H81" s="209">
        <f>SUM(H77:H80)</f>
        <v>18813.150000000001</v>
      </c>
      <c r="I81" s="209">
        <f>SUM(I77:I80)</f>
        <v>1600</v>
      </c>
      <c r="J81" s="209">
        <f t="shared" ref="J81:W81" si="41">SUM(J77:J80)</f>
        <v>0</v>
      </c>
      <c r="K81" s="209">
        <f t="shared" si="41"/>
        <v>14715.800000000001</v>
      </c>
      <c r="L81" s="209">
        <f t="shared" si="41"/>
        <v>453.72999999999911</v>
      </c>
      <c r="M81" s="209">
        <f t="shared" si="41"/>
        <v>1050.6064000000001</v>
      </c>
      <c r="N81" s="209">
        <f t="shared" si="41"/>
        <v>371.02227199999976</v>
      </c>
      <c r="O81" s="209">
        <f t="shared" si="41"/>
        <v>1219.5</v>
      </c>
      <c r="P81" s="209">
        <f t="shared" si="41"/>
        <v>1900.3022719999999</v>
      </c>
      <c r="Q81" s="209">
        <f t="shared" si="41"/>
        <v>0</v>
      </c>
      <c r="R81" s="209">
        <f t="shared" si="41"/>
        <v>0</v>
      </c>
      <c r="S81" s="209">
        <f t="shared" si="41"/>
        <v>1740</v>
      </c>
      <c r="T81" s="209">
        <f t="shared" si="41"/>
        <v>0</v>
      </c>
      <c r="U81" s="209">
        <f t="shared" si="41"/>
        <v>0</v>
      </c>
      <c r="V81" s="209">
        <f t="shared" si="41"/>
        <v>16772.847728000001</v>
      </c>
      <c r="W81" s="209">
        <f t="shared" si="41"/>
        <v>15172.847727999999</v>
      </c>
      <c r="Y81" s="15">
        <f>SUM(Y77:Y80)</f>
        <v>16772.847728000001</v>
      </c>
      <c r="Z81" s="15">
        <f>SUM(Z77:Z80)</f>
        <v>15172.847727999999</v>
      </c>
    </row>
    <row r="82" spans="1:26" s="10" customFormat="1" x14ac:dyDescent="0.25">
      <c r="A82" s="32"/>
      <c r="B82" s="50"/>
      <c r="C82" s="159"/>
      <c r="D82" s="160"/>
      <c r="E82" s="213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Y82" s="14"/>
      <c r="Z82" s="14"/>
    </row>
    <row r="83" spans="1:26" s="10" customFormat="1" ht="18.75" x14ac:dyDescent="0.25">
      <c r="A83" s="266" t="s">
        <v>388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Y83" s="14"/>
      <c r="Z83" s="14"/>
    </row>
    <row r="84" spans="1:26" s="10" customFormat="1" ht="34.5" customHeight="1" x14ac:dyDescent="0.25">
      <c r="A84" s="29" t="s">
        <v>69</v>
      </c>
      <c r="B84" s="223" t="s">
        <v>584</v>
      </c>
      <c r="C84" s="29" t="s">
        <v>17</v>
      </c>
      <c r="D84" s="29" t="s">
        <v>161</v>
      </c>
      <c r="E84" s="29" t="s">
        <v>143</v>
      </c>
      <c r="F84" s="29" t="s">
        <v>27</v>
      </c>
      <c r="G84" s="29" t="s">
        <v>19</v>
      </c>
      <c r="H84" s="29" t="s">
        <v>18</v>
      </c>
      <c r="I84" s="29" t="s">
        <v>66</v>
      </c>
      <c r="J84" s="29" t="s">
        <v>74</v>
      </c>
      <c r="K84" s="47" t="s">
        <v>301</v>
      </c>
      <c r="L84" s="47" t="s">
        <v>302</v>
      </c>
      <c r="M84" s="47" t="s">
        <v>303</v>
      </c>
      <c r="N84" s="47" t="s">
        <v>304</v>
      </c>
      <c r="O84" s="29" t="s">
        <v>305</v>
      </c>
      <c r="P84" s="29" t="s">
        <v>67</v>
      </c>
      <c r="Q84" s="29" t="s">
        <v>68</v>
      </c>
      <c r="R84" s="29" t="s">
        <v>20</v>
      </c>
      <c r="S84" s="29" t="s">
        <v>452</v>
      </c>
      <c r="T84" s="29" t="s">
        <v>72</v>
      </c>
      <c r="U84" s="29" t="s">
        <v>157</v>
      </c>
      <c r="V84" s="29" t="s">
        <v>155</v>
      </c>
      <c r="W84" s="29" t="s">
        <v>156</v>
      </c>
      <c r="Y84" s="14"/>
      <c r="Z84" s="14"/>
    </row>
    <row r="85" spans="1:26" s="10" customFormat="1" x14ac:dyDescent="0.25">
      <c r="A85" s="30">
        <v>44</v>
      </c>
      <c r="B85" s="45">
        <v>1575053226</v>
      </c>
      <c r="C85" s="16" t="s">
        <v>425</v>
      </c>
      <c r="D85" s="16" t="s">
        <v>487</v>
      </c>
      <c r="E85" s="20" t="s">
        <v>231</v>
      </c>
      <c r="F85" s="63">
        <v>15</v>
      </c>
      <c r="G85" s="72">
        <v>661.33</v>
      </c>
      <c r="H85" s="72">
        <f>F85*G85</f>
        <v>9919.9500000000007</v>
      </c>
      <c r="I85" s="72"/>
      <c r="J85" s="83"/>
      <c r="K85" s="72">
        <v>5081</v>
      </c>
      <c r="L85" s="68">
        <f>+H85-K85</f>
        <v>4838.9500000000007</v>
      </c>
      <c r="M85" s="73">
        <v>0.21360000000000001</v>
      </c>
      <c r="N85" s="72">
        <f>(H85-5081.01)*21.36%</f>
        <v>1033.5975840000001</v>
      </c>
      <c r="O85" s="72">
        <v>538.20000000000005</v>
      </c>
      <c r="P85" s="74">
        <f>N85+O85</f>
        <v>1571.7975840000001</v>
      </c>
      <c r="Q85" s="72"/>
      <c r="R85" s="72"/>
      <c r="S85" s="72"/>
      <c r="T85" s="72"/>
      <c r="U85" s="72"/>
      <c r="V85" s="68">
        <f>H85+I85+J85-P85+Q85-R85-T85-U85</f>
        <v>8348.1524160000008</v>
      </c>
      <c r="W85" s="68">
        <f>V85-I85</f>
        <v>8348.1524160000008</v>
      </c>
      <c r="Y85" s="14">
        <f>+H85+I85+J85+Q85-P85-R85-S85-T85-U85</f>
        <v>8348.1524160000008</v>
      </c>
      <c r="Z85" s="14">
        <f>+V85-I85</f>
        <v>8348.1524160000008</v>
      </c>
    </row>
    <row r="86" spans="1:26" s="10" customFormat="1" x14ac:dyDescent="0.25">
      <c r="A86" s="32"/>
      <c r="B86" s="50"/>
      <c r="C86" s="153"/>
      <c r="D86" s="26"/>
      <c r="E86" s="212"/>
      <c r="F86" s="69"/>
      <c r="G86" s="70"/>
      <c r="H86" s="76">
        <f>+SUM(H85:H85)</f>
        <v>9919.9500000000007</v>
      </c>
      <c r="I86" s="76">
        <f t="shared" ref="I86:W86" si="42">+SUM(I85:I85)</f>
        <v>0</v>
      </c>
      <c r="J86" s="76">
        <f t="shared" si="42"/>
        <v>0</v>
      </c>
      <c r="K86" s="76">
        <f t="shared" si="42"/>
        <v>5081</v>
      </c>
      <c r="L86" s="76">
        <f t="shared" si="42"/>
        <v>4838.9500000000007</v>
      </c>
      <c r="M86" s="76">
        <f t="shared" si="42"/>
        <v>0.21360000000000001</v>
      </c>
      <c r="N86" s="76">
        <f t="shared" si="42"/>
        <v>1033.5975840000001</v>
      </c>
      <c r="O86" s="76">
        <f t="shared" si="42"/>
        <v>538.20000000000005</v>
      </c>
      <c r="P86" s="76">
        <f t="shared" si="42"/>
        <v>1571.7975840000001</v>
      </c>
      <c r="Q86" s="76">
        <f t="shared" si="42"/>
        <v>0</v>
      </c>
      <c r="R86" s="76">
        <f t="shared" si="42"/>
        <v>0</v>
      </c>
      <c r="S86" s="76">
        <f t="shared" si="42"/>
        <v>0</v>
      </c>
      <c r="T86" s="76">
        <f t="shared" si="42"/>
        <v>0</v>
      </c>
      <c r="U86" s="76">
        <f t="shared" si="42"/>
        <v>0</v>
      </c>
      <c r="V86" s="76">
        <f t="shared" si="42"/>
        <v>8348.1524160000008</v>
      </c>
      <c r="W86" s="76">
        <f t="shared" si="42"/>
        <v>8348.1524160000008</v>
      </c>
      <c r="Y86" s="15">
        <f>+SUM(Y85:Y85)</f>
        <v>8348.1524160000008</v>
      </c>
      <c r="Z86" s="15">
        <f>+SUM(Z85:Z85)</f>
        <v>8348.1524160000008</v>
      </c>
    </row>
    <row r="87" spans="1:26" s="10" customFormat="1" x14ac:dyDescent="0.25">
      <c r="A87" s="32"/>
      <c r="B87" s="50"/>
      <c r="C87" s="153"/>
      <c r="D87" s="26"/>
      <c r="E87" s="212"/>
      <c r="F87" s="69"/>
      <c r="G87" s="70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Y87" s="14"/>
      <c r="Z87" s="14"/>
    </row>
    <row r="88" spans="1:26" s="10" customFormat="1" ht="18.75" customHeight="1" x14ac:dyDescent="0.25">
      <c r="A88" s="278" t="s">
        <v>389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Y88" s="14"/>
      <c r="Z88" s="14"/>
    </row>
    <row r="89" spans="1:26" s="10" customFormat="1" ht="35.25" customHeight="1" x14ac:dyDescent="0.25">
      <c r="A89" s="29" t="s">
        <v>69</v>
      </c>
      <c r="B89" s="223" t="s">
        <v>584</v>
      </c>
      <c r="C89" s="29" t="s">
        <v>17</v>
      </c>
      <c r="D89" s="29" t="s">
        <v>161</v>
      </c>
      <c r="E89" s="29" t="s">
        <v>143</v>
      </c>
      <c r="F89" s="29" t="s">
        <v>27</v>
      </c>
      <c r="G89" s="29" t="s">
        <v>19</v>
      </c>
      <c r="H89" s="29" t="s">
        <v>18</v>
      </c>
      <c r="I89" s="29" t="s">
        <v>66</v>
      </c>
      <c r="J89" s="29" t="s">
        <v>74</v>
      </c>
      <c r="K89" s="47" t="s">
        <v>301</v>
      </c>
      <c r="L89" s="47" t="s">
        <v>302</v>
      </c>
      <c r="M89" s="47" t="s">
        <v>303</v>
      </c>
      <c r="N89" s="47" t="s">
        <v>304</v>
      </c>
      <c r="O89" s="29" t="s">
        <v>305</v>
      </c>
      <c r="P89" s="29" t="s">
        <v>67</v>
      </c>
      <c r="Q89" s="29" t="s">
        <v>68</v>
      </c>
      <c r="R89" s="29" t="s">
        <v>20</v>
      </c>
      <c r="S89" s="29" t="s">
        <v>452</v>
      </c>
      <c r="T89" s="29" t="s">
        <v>72</v>
      </c>
      <c r="U89" s="29" t="s">
        <v>157</v>
      </c>
      <c r="V89" s="29" t="s">
        <v>155</v>
      </c>
      <c r="W89" s="29" t="s">
        <v>156</v>
      </c>
      <c r="Y89" s="14"/>
      <c r="Z89" s="14"/>
    </row>
    <row r="90" spans="1:26" s="10" customFormat="1" ht="27" x14ac:dyDescent="0.25">
      <c r="A90" s="30">
        <v>45</v>
      </c>
      <c r="B90" s="45">
        <v>1585781500</v>
      </c>
      <c r="C90" s="16" t="s">
        <v>203</v>
      </c>
      <c r="D90" s="158" t="s">
        <v>488</v>
      </c>
      <c r="E90" s="20" t="s">
        <v>534</v>
      </c>
      <c r="F90" s="63">
        <v>15</v>
      </c>
      <c r="G90" s="72">
        <v>661.33</v>
      </c>
      <c r="H90" s="72">
        <f>F90*G90</f>
        <v>9919.9500000000007</v>
      </c>
      <c r="I90" s="60"/>
      <c r="J90" s="60"/>
      <c r="K90" s="72">
        <v>5081</v>
      </c>
      <c r="L90" s="68">
        <f>+H90-K90</f>
        <v>4838.9500000000007</v>
      </c>
      <c r="M90" s="73">
        <v>0.21360000000000001</v>
      </c>
      <c r="N90" s="72">
        <f>(H90-5081.01)*21.36%</f>
        <v>1033.5975840000001</v>
      </c>
      <c r="O90" s="72">
        <v>538.20000000000005</v>
      </c>
      <c r="P90" s="72">
        <f>N90+O90</f>
        <v>1571.7975840000001</v>
      </c>
      <c r="Q90" s="72">
        <f>VLOOKUP($H$90,Tabsub,3)</f>
        <v>0</v>
      </c>
      <c r="R90" s="60"/>
      <c r="S90" s="60"/>
      <c r="T90" s="60"/>
      <c r="U90" s="60"/>
      <c r="V90" s="68">
        <f>H90+I90+J90-P90+Q90-R90-S90-T90-U90</f>
        <v>8348.1524160000008</v>
      </c>
      <c r="W90" s="68">
        <f>V90-I90</f>
        <v>8348.1524160000008</v>
      </c>
      <c r="Y90" s="14">
        <f>+H90+I90+J90+Q90-P90-R90-S90-T90-U90</f>
        <v>8348.1524160000008</v>
      </c>
      <c r="Z90" s="14">
        <f>+V90-I90</f>
        <v>8348.1524160000008</v>
      </c>
    </row>
    <row r="91" spans="1:26" s="10" customFormat="1" x14ac:dyDescent="0.25">
      <c r="A91" s="30">
        <v>83</v>
      </c>
      <c r="B91" s="45">
        <v>1518082669</v>
      </c>
      <c r="C91" s="16" t="s">
        <v>543</v>
      </c>
      <c r="D91" s="18" t="s">
        <v>163</v>
      </c>
      <c r="E91" s="18" t="s">
        <v>544</v>
      </c>
      <c r="F91" s="63">
        <v>15</v>
      </c>
      <c r="G91" s="226">
        <v>263.56</v>
      </c>
      <c r="H91" s="226">
        <f>F91*G91</f>
        <v>3953.4</v>
      </c>
      <c r="I91" s="144">
        <v>400</v>
      </c>
      <c r="J91" s="226"/>
      <c r="K91" s="226">
        <f>VLOOKUP($H$72,Tabisr,1)</f>
        <v>3651.01</v>
      </c>
      <c r="L91" s="226">
        <f>+H91-K91</f>
        <v>302.38999999999987</v>
      </c>
      <c r="M91" s="226">
        <f>VLOOKUP($H$72,Tabisr,4)</f>
        <v>0.16</v>
      </c>
      <c r="N91" s="226">
        <f>(H91-3651.01)*16%</f>
        <v>48.382399999999983</v>
      </c>
      <c r="O91" s="226">
        <v>293.25</v>
      </c>
      <c r="P91" s="195">
        <f>O91+N91</f>
        <v>341.63239999999996</v>
      </c>
      <c r="Q91" s="226"/>
      <c r="R91" s="226"/>
      <c r="S91" s="227">
        <v>1138</v>
      </c>
      <c r="T91" s="226"/>
      <c r="U91" s="226"/>
      <c r="V91" s="195">
        <f>H91+I91+J91-P91+Q91-R91-S91-T91-U91</f>
        <v>2873.7675999999997</v>
      </c>
      <c r="W91" s="195">
        <f>V91-I91</f>
        <v>2473.7675999999997</v>
      </c>
      <c r="Y91" s="14">
        <f>+H91+I91+J91+Q91-P91-R91-S91-T91-U91</f>
        <v>2873.7675999999997</v>
      </c>
      <c r="Z91" s="14">
        <f>+V91-I91</f>
        <v>2473.7675999999997</v>
      </c>
    </row>
    <row r="92" spans="1:26" s="10" customFormat="1" x14ac:dyDescent="0.25">
      <c r="A92" s="32"/>
      <c r="B92" s="50" t="s">
        <v>529</v>
      </c>
      <c r="C92" s="153"/>
      <c r="D92" s="26"/>
      <c r="E92" s="212"/>
      <c r="F92" s="69"/>
      <c r="G92" s="70"/>
      <c r="H92" s="76">
        <f>+SUM(H90:H91)</f>
        <v>13873.35</v>
      </c>
      <c r="I92" s="76">
        <f>+SUM(I90:I91)</f>
        <v>400</v>
      </c>
      <c r="J92" s="76">
        <f t="shared" ref="J92:W92" si="43">+SUM(J90:J91)</f>
        <v>0</v>
      </c>
      <c r="K92" s="76">
        <f t="shared" si="43"/>
        <v>8732.01</v>
      </c>
      <c r="L92" s="76">
        <f t="shared" si="43"/>
        <v>5141.34</v>
      </c>
      <c r="M92" s="76">
        <f t="shared" si="43"/>
        <v>0.37360000000000004</v>
      </c>
      <c r="N92" s="76">
        <f t="shared" si="43"/>
        <v>1081.9799840000001</v>
      </c>
      <c r="O92" s="76">
        <f t="shared" si="43"/>
        <v>831.45</v>
      </c>
      <c r="P92" s="76">
        <f t="shared" si="43"/>
        <v>1913.4299840000001</v>
      </c>
      <c r="Q92" s="76">
        <f t="shared" si="43"/>
        <v>0</v>
      </c>
      <c r="R92" s="76">
        <f t="shared" si="43"/>
        <v>0</v>
      </c>
      <c r="S92" s="76">
        <f t="shared" si="43"/>
        <v>1138</v>
      </c>
      <c r="T92" s="76">
        <f t="shared" si="43"/>
        <v>0</v>
      </c>
      <c r="U92" s="76">
        <f t="shared" si="43"/>
        <v>0</v>
      </c>
      <c r="V92" s="76">
        <f t="shared" si="43"/>
        <v>11221.920016</v>
      </c>
      <c r="W92" s="76">
        <f t="shared" si="43"/>
        <v>10821.920016</v>
      </c>
      <c r="Y92" s="15">
        <f>+SUM(Y90:Y91)</f>
        <v>11221.920016</v>
      </c>
      <c r="Z92" s="15">
        <f>+SUM(Z90:Z91)</f>
        <v>10821.920016</v>
      </c>
    </row>
    <row r="93" spans="1:26" s="10" customFormat="1" x14ac:dyDescent="0.25">
      <c r="A93" s="32"/>
      <c r="B93" s="50"/>
      <c r="C93" s="153"/>
      <c r="D93" s="26"/>
      <c r="E93" s="212"/>
      <c r="F93" s="69"/>
      <c r="G93" s="70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Y93" s="14"/>
      <c r="Z93" s="14"/>
    </row>
    <row r="94" spans="1:26" s="10" customFormat="1" x14ac:dyDescent="0.25">
      <c r="A94" s="32"/>
      <c r="B94" s="50"/>
      <c r="C94" s="153"/>
      <c r="D94" s="26"/>
      <c r="E94" s="212"/>
      <c r="F94" s="69"/>
      <c r="G94" s="70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Y94" s="14"/>
      <c r="Z94" s="14"/>
    </row>
    <row r="95" spans="1:26" s="10" customFormat="1" x14ac:dyDescent="0.25">
      <c r="A95" s="32"/>
      <c r="B95" s="50"/>
      <c r="C95" s="153"/>
      <c r="D95" s="26"/>
      <c r="E95" s="212"/>
      <c r="F95" s="69"/>
      <c r="G95" s="70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Y95" s="14"/>
      <c r="Z95" s="14"/>
    </row>
    <row r="96" spans="1:26" s="10" customFormat="1" x14ac:dyDescent="0.25">
      <c r="A96" s="32"/>
      <c r="B96" s="50"/>
      <c r="C96" s="153"/>
      <c r="D96" s="26"/>
      <c r="E96" s="212"/>
      <c r="F96" s="69"/>
      <c r="G96" s="70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Y96" s="14"/>
      <c r="Z96" s="14"/>
    </row>
    <row r="97" spans="1:26" s="10" customFormat="1" ht="18.75" customHeight="1" x14ac:dyDescent="0.25">
      <c r="A97" s="278" t="s">
        <v>390</v>
      </c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Y97" s="14"/>
      <c r="Z97" s="14"/>
    </row>
    <row r="98" spans="1:26" s="10" customFormat="1" ht="31.5" customHeight="1" x14ac:dyDescent="0.25">
      <c r="A98" s="29" t="s">
        <v>69</v>
      </c>
      <c r="B98" s="223" t="s">
        <v>584</v>
      </c>
      <c r="C98" s="29" t="s">
        <v>17</v>
      </c>
      <c r="D98" s="29" t="s">
        <v>161</v>
      </c>
      <c r="E98" s="29" t="s">
        <v>143</v>
      </c>
      <c r="F98" s="29" t="s">
        <v>27</v>
      </c>
      <c r="G98" s="29" t="s">
        <v>19</v>
      </c>
      <c r="H98" s="29" t="s">
        <v>18</v>
      </c>
      <c r="I98" s="29" t="s">
        <v>66</v>
      </c>
      <c r="J98" s="29" t="s">
        <v>74</v>
      </c>
      <c r="K98" s="47" t="s">
        <v>301</v>
      </c>
      <c r="L98" s="47" t="s">
        <v>302</v>
      </c>
      <c r="M98" s="47" t="s">
        <v>303</v>
      </c>
      <c r="N98" s="47" t="s">
        <v>304</v>
      </c>
      <c r="O98" s="29" t="s">
        <v>305</v>
      </c>
      <c r="P98" s="29" t="s">
        <v>67</v>
      </c>
      <c r="Q98" s="29" t="s">
        <v>68</v>
      </c>
      <c r="R98" s="29" t="s">
        <v>20</v>
      </c>
      <c r="S98" s="29" t="s">
        <v>452</v>
      </c>
      <c r="T98" s="29" t="s">
        <v>72</v>
      </c>
      <c r="U98" s="29" t="s">
        <v>157</v>
      </c>
      <c r="V98" s="29" t="s">
        <v>155</v>
      </c>
      <c r="W98" s="29" t="s">
        <v>156</v>
      </c>
      <c r="Y98" s="14"/>
      <c r="Z98" s="14"/>
    </row>
    <row r="99" spans="1:26" s="10" customFormat="1" x14ac:dyDescent="0.25">
      <c r="A99" s="34">
        <v>47</v>
      </c>
      <c r="B99" s="255"/>
      <c r="C99" s="155" t="s">
        <v>458</v>
      </c>
      <c r="D99" s="155" t="s">
        <v>260</v>
      </c>
      <c r="E99" s="155"/>
      <c r="F99" s="78"/>
      <c r="G99" s="79"/>
      <c r="H99" s="79"/>
      <c r="I99" s="79"/>
      <c r="J99" s="79"/>
      <c r="K99" s="79"/>
      <c r="L99" s="81"/>
      <c r="M99" s="82"/>
      <c r="N99" s="79"/>
      <c r="O99" s="79"/>
      <c r="P99" s="79"/>
      <c r="Q99" s="79"/>
      <c r="R99" s="79"/>
      <c r="S99" s="79"/>
      <c r="T99" s="79"/>
      <c r="U99" s="79"/>
      <c r="V99" s="81"/>
      <c r="W99" s="81"/>
      <c r="Y99" s="14">
        <f>+H99+I99+J99+Q99-P99-R99-S99-T99-U99</f>
        <v>0</v>
      </c>
      <c r="Z99" s="14">
        <f>+V99-I99</f>
        <v>0</v>
      </c>
    </row>
    <row r="100" spans="1:26" s="10" customFormat="1" x14ac:dyDescent="0.25">
      <c r="A100" s="35"/>
      <c r="B100" s="45">
        <v>1505467214</v>
      </c>
      <c r="C100" s="16" t="s">
        <v>674</v>
      </c>
      <c r="D100" s="16" t="s">
        <v>163</v>
      </c>
      <c r="E100" s="162" t="s">
        <v>675</v>
      </c>
      <c r="F100" s="35">
        <v>15</v>
      </c>
      <c r="G100" s="100">
        <v>263.56</v>
      </c>
      <c r="H100" s="101">
        <f>F100*G100</f>
        <v>3953.4</v>
      </c>
      <c r="I100" s="101">
        <v>400</v>
      </c>
      <c r="J100" s="101"/>
      <c r="K100" s="101">
        <v>309.77999999999997</v>
      </c>
      <c r="L100" s="101"/>
      <c r="M100" s="101">
        <v>1050</v>
      </c>
      <c r="N100" s="101"/>
      <c r="O100" s="101"/>
      <c r="P100" s="101">
        <v>309.77999999999997</v>
      </c>
      <c r="Q100" s="101"/>
      <c r="R100" s="101"/>
      <c r="S100" s="72"/>
      <c r="T100" s="72"/>
      <c r="U100" s="72"/>
      <c r="V100" s="72">
        <f>H100+I100+J100-P100+Q100-R100-S100-T100-U100</f>
        <v>4043.62</v>
      </c>
      <c r="W100" s="72">
        <f>V100-I100</f>
        <v>3643.62</v>
      </c>
      <c r="Y100" s="14"/>
      <c r="Z100" s="14"/>
    </row>
    <row r="101" spans="1:26" s="10" customFormat="1" x14ac:dyDescent="0.25">
      <c r="A101" s="31">
        <v>48</v>
      </c>
      <c r="B101" s="45">
        <v>1585781526</v>
      </c>
      <c r="C101" s="16" t="s">
        <v>201</v>
      </c>
      <c r="D101" s="152" t="s">
        <v>175</v>
      </c>
      <c r="E101" s="152" t="s">
        <v>208</v>
      </c>
      <c r="F101" s="86">
        <v>15</v>
      </c>
      <c r="G101" s="64">
        <v>312.26</v>
      </c>
      <c r="H101" s="64">
        <f>F101*G101</f>
        <v>4683.8999999999996</v>
      </c>
      <c r="I101" s="64">
        <v>400</v>
      </c>
      <c r="J101" s="64"/>
      <c r="K101" s="64">
        <f>VLOOKUP($H$90,Tabisr,1)</f>
        <v>5081.01</v>
      </c>
      <c r="L101" s="66">
        <f>+H101-K101</f>
        <v>-397.11000000000058</v>
      </c>
      <c r="M101" s="67">
        <f>VLOOKUP($H$90,Tabisr,4)</f>
        <v>0.21360000000000001</v>
      </c>
      <c r="N101" s="64">
        <f>(H101-4244.01)*17.92%</f>
        <v>78.828287999999901</v>
      </c>
      <c r="O101" s="72">
        <v>388.05</v>
      </c>
      <c r="P101" s="64">
        <f>N101+O101</f>
        <v>466.87828799999988</v>
      </c>
      <c r="Q101" s="64"/>
      <c r="R101" s="64"/>
      <c r="S101" s="64"/>
      <c r="T101" s="64"/>
      <c r="U101" s="64"/>
      <c r="V101" s="68">
        <f>H101+I101+J101-P101+Q101-R101-S101-T101-U101</f>
        <v>4617.0217119999998</v>
      </c>
      <c r="W101" s="66">
        <f>V101-I101</f>
        <v>4217.0217119999998</v>
      </c>
      <c r="Y101" s="14">
        <f>+H101+I101+J101+Q101-P101-R101-S101-T101-U101</f>
        <v>4617.0217119999998</v>
      </c>
      <c r="Z101" s="14">
        <f>+V101-I101</f>
        <v>4217.0217119999998</v>
      </c>
    </row>
    <row r="102" spans="1:26" s="10" customFormat="1" x14ac:dyDescent="0.25">
      <c r="A102" s="32"/>
      <c r="B102" s="50"/>
      <c r="C102" s="159"/>
      <c r="D102" s="160"/>
      <c r="E102" s="213"/>
      <c r="F102" s="84"/>
      <c r="G102" s="84"/>
      <c r="H102" s="89">
        <f>+SUM(H99:H101)</f>
        <v>8637.2999999999993</v>
      </c>
      <c r="I102" s="89">
        <f>+SUM(I99:I101)</f>
        <v>800</v>
      </c>
      <c r="J102" s="89">
        <f t="shared" ref="J102:W102" si="44">+SUM(J99:J101)</f>
        <v>0</v>
      </c>
      <c r="K102" s="89">
        <f t="shared" si="44"/>
        <v>5390.79</v>
      </c>
      <c r="L102" s="89">
        <f t="shared" si="44"/>
        <v>-397.11000000000058</v>
      </c>
      <c r="M102" s="89">
        <f t="shared" si="44"/>
        <v>1050.2136</v>
      </c>
      <c r="N102" s="89">
        <f t="shared" si="44"/>
        <v>78.828287999999901</v>
      </c>
      <c r="O102" s="89">
        <f t="shared" si="44"/>
        <v>388.05</v>
      </c>
      <c r="P102" s="89">
        <f t="shared" si="44"/>
        <v>776.65828799999986</v>
      </c>
      <c r="Q102" s="89">
        <f t="shared" si="44"/>
        <v>0</v>
      </c>
      <c r="R102" s="89">
        <f t="shared" si="44"/>
        <v>0</v>
      </c>
      <c r="S102" s="89">
        <f t="shared" si="44"/>
        <v>0</v>
      </c>
      <c r="T102" s="89">
        <f t="shared" si="44"/>
        <v>0</v>
      </c>
      <c r="U102" s="89">
        <f t="shared" si="44"/>
        <v>0</v>
      </c>
      <c r="V102" s="89">
        <f t="shared" si="44"/>
        <v>8660.6417120000006</v>
      </c>
      <c r="W102" s="89">
        <f t="shared" si="44"/>
        <v>7860.6417119999996</v>
      </c>
      <c r="Y102" s="15">
        <f>+SUM(Y99:Y101)</f>
        <v>4617.0217119999998</v>
      </c>
      <c r="Z102" s="15">
        <f>+SUM(Z99:Z101)</f>
        <v>4217.0217119999998</v>
      </c>
    </row>
    <row r="103" spans="1:26" s="10" customFormat="1" x14ac:dyDescent="0.25">
      <c r="A103" s="32"/>
      <c r="B103" s="50"/>
      <c r="C103" s="159"/>
      <c r="D103" s="160"/>
      <c r="E103" s="213"/>
      <c r="F103" s="84"/>
      <c r="G103" s="84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Y103" s="14"/>
      <c r="Z103" s="14"/>
    </row>
    <row r="104" spans="1:26" s="10" customFormat="1" ht="18.75" x14ac:dyDescent="0.25">
      <c r="A104" s="266" t="s">
        <v>567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Y104" s="14"/>
      <c r="Z104" s="14"/>
    </row>
    <row r="105" spans="1:26" s="10" customFormat="1" ht="33.75" customHeight="1" x14ac:dyDescent="0.25">
      <c r="A105" s="29" t="s">
        <v>69</v>
      </c>
      <c r="B105" s="223" t="s">
        <v>584</v>
      </c>
      <c r="C105" s="29" t="s">
        <v>17</v>
      </c>
      <c r="D105" s="29" t="s">
        <v>161</v>
      </c>
      <c r="E105" s="29" t="s">
        <v>143</v>
      </c>
      <c r="F105" s="29" t="s">
        <v>27</v>
      </c>
      <c r="G105" s="29" t="s">
        <v>19</v>
      </c>
      <c r="H105" s="29" t="s">
        <v>18</v>
      </c>
      <c r="I105" s="29" t="s">
        <v>66</v>
      </c>
      <c r="J105" s="29" t="s">
        <v>74</v>
      </c>
      <c r="K105" s="47" t="s">
        <v>301</v>
      </c>
      <c r="L105" s="47" t="s">
        <v>302</v>
      </c>
      <c r="M105" s="47" t="s">
        <v>303</v>
      </c>
      <c r="N105" s="47" t="s">
        <v>304</v>
      </c>
      <c r="O105" s="29" t="s">
        <v>305</v>
      </c>
      <c r="P105" s="29" t="s">
        <v>67</v>
      </c>
      <c r="Q105" s="29" t="s">
        <v>68</v>
      </c>
      <c r="R105" s="29" t="s">
        <v>20</v>
      </c>
      <c r="S105" s="29" t="s">
        <v>452</v>
      </c>
      <c r="T105" s="29" t="s">
        <v>72</v>
      </c>
      <c r="U105" s="29" t="s">
        <v>157</v>
      </c>
      <c r="V105" s="29" t="s">
        <v>155</v>
      </c>
      <c r="W105" s="29" t="s">
        <v>156</v>
      </c>
      <c r="Y105" s="14"/>
      <c r="Z105" s="14"/>
    </row>
    <row r="106" spans="1:26" s="12" customFormat="1" x14ac:dyDescent="0.25">
      <c r="A106" s="37">
        <v>49</v>
      </c>
      <c r="B106" s="52"/>
      <c r="C106" s="21" t="s">
        <v>217</v>
      </c>
      <c r="D106" s="161" t="s">
        <v>553</v>
      </c>
      <c r="E106" s="184" t="s">
        <v>232</v>
      </c>
      <c r="F106" s="90">
        <v>15</v>
      </c>
      <c r="G106" s="91">
        <v>661.33</v>
      </c>
      <c r="H106" s="91">
        <f>F106*G106</f>
        <v>9919.9500000000007</v>
      </c>
      <c r="I106" s="92"/>
      <c r="J106" s="92"/>
      <c r="K106" s="91">
        <v>5081</v>
      </c>
      <c r="L106" s="93">
        <f>+H106-K106</f>
        <v>4838.9500000000007</v>
      </c>
      <c r="M106" s="94">
        <v>0.21360000000000001</v>
      </c>
      <c r="N106" s="91">
        <f>(H106-5081.01)*21.36%</f>
        <v>1033.5975840000001</v>
      </c>
      <c r="O106" s="91">
        <v>538.20000000000005</v>
      </c>
      <c r="P106" s="91">
        <f>N106+O106</f>
        <v>1571.7975840000001</v>
      </c>
      <c r="Q106" s="91">
        <f>VLOOKUP($H$90,Tabsub,3)</f>
        <v>0</v>
      </c>
      <c r="R106" s="92"/>
      <c r="S106" s="92"/>
      <c r="T106" s="92"/>
      <c r="U106" s="92"/>
      <c r="V106" s="93">
        <f>H106+I106+J106-P106+Q106-R106-S106-T106-U106</f>
        <v>8348.1524160000008</v>
      </c>
      <c r="W106" s="93">
        <f>V106-I106</f>
        <v>8348.1524160000008</v>
      </c>
      <c r="Y106" s="24">
        <f>+H106+I106+J106+Q106-P106-R106-S106-T106-U106</f>
        <v>8348.1524160000008</v>
      </c>
      <c r="Z106" s="24">
        <f>+V106-I106</f>
        <v>8348.1524160000008</v>
      </c>
    </row>
    <row r="107" spans="1:26" s="10" customFormat="1" ht="21" customHeight="1" x14ac:dyDescent="0.25">
      <c r="A107" s="30">
        <v>50</v>
      </c>
      <c r="B107" s="45">
        <v>1585781534</v>
      </c>
      <c r="C107" s="16" t="s">
        <v>316</v>
      </c>
      <c r="D107" s="16" t="s">
        <v>216</v>
      </c>
      <c r="E107" s="20" t="s">
        <v>317</v>
      </c>
      <c r="F107" s="63">
        <v>15</v>
      </c>
      <c r="G107" s="72">
        <v>414.83</v>
      </c>
      <c r="H107" s="72">
        <f>F107*G107</f>
        <v>6222.45</v>
      </c>
      <c r="I107" s="72">
        <v>400</v>
      </c>
      <c r="J107" s="83"/>
      <c r="K107" s="72">
        <f>VLOOKUP($H$209,Tabisr,1)</f>
        <v>5081.01</v>
      </c>
      <c r="L107" s="68">
        <f>+H107-K107</f>
        <v>1141.4399999999996</v>
      </c>
      <c r="M107" s="73">
        <f>VLOOKUP($H$209,Tabisr,4)</f>
        <v>0.21360000000000001</v>
      </c>
      <c r="N107" s="72">
        <f>+L107*M107</f>
        <v>243.81158399999993</v>
      </c>
      <c r="O107" s="72">
        <f>VLOOKUP($H$209,Tabisr,3)</f>
        <v>538.20000000000005</v>
      </c>
      <c r="P107" s="60">
        <f>+N107+O107</f>
        <v>782.01158399999997</v>
      </c>
      <c r="Q107" s="72"/>
      <c r="R107" s="72"/>
      <c r="S107" s="72"/>
      <c r="T107" s="72"/>
      <c r="U107" s="72"/>
      <c r="V107" s="68">
        <f>H107+I107+J107-P107+Q107-R107-S107-T107-U107</f>
        <v>5840.438416</v>
      </c>
      <c r="W107" s="68">
        <f>V107-I107</f>
        <v>5440.438416</v>
      </c>
      <c r="Y107" s="14">
        <f>+H107+I107+J107+Q107-P107-R107-S107-T107-U107</f>
        <v>5840.438416</v>
      </c>
      <c r="Z107" s="14">
        <f>+V107-I107</f>
        <v>5440.438416</v>
      </c>
    </row>
    <row r="108" spans="1:26" s="10" customFormat="1" x14ac:dyDescent="0.25">
      <c r="A108" s="30">
        <v>51</v>
      </c>
      <c r="B108" s="45">
        <v>1585781544</v>
      </c>
      <c r="C108" s="16" t="s">
        <v>21</v>
      </c>
      <c r="D108" s="18" t="s">
        <v>566</v>
      </c>
      <c r="E108" s="20" t="s">
        <v>86</v>
      </c>
      <c r="F108" s="63">
        <v>15</v>
      </c>
      <c r="G108" s="72">
        <v>312.26</v>
      </c>
      <c r="H108" s="72">
        <f>F108*G108</f>
        <v>4683.8999999999996</v>
      </c>
      <c r="I108" s="72">
        <v>400</v>
      </c>
      <c r="J108" s="30"/>
      <c r="K108" s="72">
        <f>VLOOKUP($H$90,Tabisr,1)</f>
        <v>5081.01</v>
      </c>
      <c r="L108" s="68">
        <f>+H108-K108</f>
        <v>-397.11000000000058</v>
      </c>
      <c r="M108" s="73">
        <f>VLOOKUP($H$90,Tabisr,4)</f>
        <v>0.21360000000000001</v>
      </c>
      <c r="N108" s="72">
        <f>(H108-4244.01)*17.92%</f>
        <v>78.828287999999901</v>
      </c>
      <c r="O108" s="72">
        <v>388.05</v>
      </c>
      <c r="P108" s="72">
        <f>N108+O108</f>
        <v>466.87828799999988</v>
      </c>
      <c r="Q108" s="72"/>
      <c r="R108" s="30"/>
      <c r="S108" s="30">
        <v>2345</v>
      </c>
      <c r="T108" s="30"/>
      <c r="U108" s="33"/>
      <c r="V108" s="68">
        <f>H108+I108+J108-P108+Q108-R108-S108-T108-U108</f>
        <v>2272.0217119999998</v>
      </c>
      <c r="W108" s="68">
        <f>V108-I108</f>
        <v>1872.0217119999998</v>
      </c>
      <c r="Y108" s="14">
        <f>+H108+I108+J108+Q108-P108-R108-S108-T108-U108</f>
        <v>2272.0217119999998</v>
      </c>
      <c r="Z108" s="14">
        <f>+V108-I108</f>
        <v>1872.0217119999998</v>
      </c>
    </row>
    <row r="109" spans="1:26" s="10" customFormat="1" x14ac:dyDescent="0.25">
      <c r="A109" s="32"/>
      <c r="B109" s="50"/>
      <c r="C109" s="159"/>
      <c r="D109" s="160"/>
      <c r="E109" s="213"/>
      <c r="F109" s="84"/>
      <c r="G109" s="84"/>
      <c r="H109" s="85">
        <f>+SUM(H106:H108)</f>
        <v>20826.300000000003</v>
      </c>
      <c r="I109" s="85">
        <f>+SUM(I106:I108)</f>
        <v>800</v>
      </c>
      <c r="J109" s="85">
        <f t="shared" ref="J109:R109" si="45">+SUM(J107:J108)</f>
        <v>0</v>
      </c>
      <c r="K109" s="85">
        <f t="shared" si="45"/>
        <v>10162.02</v>
      </c>
      <c r="L109" s="85">
        <f t="shared" si="45"/>
        <v>744.32999999999902</v>
      </c>
      <c r="M109" s="85">
        <f t="shared" si="45"/>
        <v>0.42720000000000002</v>
      </c>
      <c r="N109" s="85">
        <f t="shared" si="45"/>
        <v>322.63987199999985</v>
      </c>
      <c r="O109" s="85">
        <f t="shared" si="45"/>
        <v>926.25</v>
      </c>
      <c r="P109" s="85">
        <f>+SUM(P106:P108)</f>
        <v>2820.6874560000001</v>
      </c>
      <c r="Q109" s="85">
        <f t="shared" si="45"/>
        <v>0</v>
      </c>
      <c r="R109" s="85">
        <f t="shared" si="45"/>
        <v>0</v>
      </c>
      <c r="S109" s="85">
        <f>SUM(S108)</f>
        <v>2345</v>
      </c>
      <c r="T109" s="85">
        <f>+SUM(T106:T108)</f>
        <v>0</v>
      </c>
      <c r="U109" s="85">
        <f>+SUM(U106:U108)</f>
        <v>0</v>
      </c>
      <c r="V109" s="85">
        <f>+SUM(V106:V108)</f>
        <v>16460.612544000003</v>
      </c>
      <c r="W109" s="85">
        <f>+SUM(W106:W108)</f>
        <v>15660.612544000001</v>
      </c>
      <c r="Y109" s="15">
        <f>+SUM(Y106:Y108)</f>
        <v>16460.612544000003</v>
      </c>
      <c r="Z109" s="15">
        <f>+SUM(Z106:Z108)</f>
        <v>15660.612544000001</v>
      </c>
    </row>
    <row r="110" spans="1:26" s="10" customFormat="1" x14ac:dyDescent="0.25">
      <c r="A110" s="32"/>
      <c r="B110" s="50"/>
      <c r="C110" s="159"/>
      <c r="D110" s="160"/>
      <c r="E110" s="213"/>
      <c r="F110" s="84"/>
      <c r="G110" s="8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Y110" s="14"/>
      <c r="Z110" s="14"/>
    </row>
    <row r="111" spans="1:26" s="10" customFormat="1" ht="18.75" x14ac:dyDescent="0.25">
      <c r="A111" s="266" t="s">
        <v>391</v>
      </c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Y111" s="14"/>
      <c r="Z111" s="14"/>
    </row>
    <row r="112" spans="1:26" s="10" customFormat="1" ht="31.5" customHeight="1" x14ac:dyDescent="0.25">
      <c r="A112" s="29" t="s">
        <v>69</v>
      </c>
      <c r="B112" s="223" t="s">
        <v>584</v>
      </c>
      <c r="C112" s="29" t="s">
        <v>17</v>
      </c>
      <c r="D112" s="29" t="s">
        <v>161</v>
      </c>
      <c r="E112" s="29" t="s">
        <v>143</v>
      </c>
      <c r="F112" s="29" t="s">
        <v>27</v>
      </c>
      <c r="G112" s="29" t="s">
        <v>19</v>
      </c>
      <c r="H112" s="29" t="s">
        <v>18</v>
      </c>
      <c r="I112" s="29" t="s">
        <v>66</v>
      </c>
      <c r="J112" s="29" t="s">
        <v>74</v>
      </c>
      <c r="K112" s="47" t="s">
        <v>301</v>
      </c>
      <c r="L112" s="47" t="s">
        <v>302</v>
      </c>
      <c r="M112" s="47" t="s">
        <v>303</v>
      </c>
      <c r="N112" s="47" t="s">
        <v>304</v>
      </c>
      <c r="O112" s="29" t="s">
        <v>305</v>
      </c>
      <c r="P112" s="29" t="s">
        <v>67</v>
      </c>
      <c r="Q112" s="29" t="s">
        <v>68</v>
      </c>
      <c r="R112" s="29" t="s">
        <v>20</v>
      </c>
      <c r="S112" s="29" t="s">
        <v>452</v>
      </c>
      <c r="T112" s="29" t="s">
        <v>72</v>
      </c>
      <c r="U112" s="29" t="s">
        <v>157</v>
      </c>
      <c r="V112" s="29" t="s">
        <v>155</v>
      </c>
      <c r="W112" s="29" t="s">
        <v>156</v>
      </c>
      <c r="Y112" s="14"/>
      <c r="Z112" s="14"/>
    </row>
    <row r="113" spans="1:26" s="10" customFormat="1" x14ac:dyDescent="0.25">
      <c r="A113" s="30">
        <v>52</v>
      </c>
      <c r="B113" s="45">
        <v>1585781551</v>
      </c>
      <c r="C113" s="16" t="s">
        <v>45</v>
      </c>
      <c r="D113" s="158" t="s">
        <v>168</v>
      </c>
      <c r="E113" s="20" t="s">
        <v>123</v>
      </c>
      <c r="F113" s="63">
        <v>15</v>
      </c>
      <c r="G113" s="72">
        <v>312.26</v>
      </c>
      <c r="H113" s="72">
        <f t="shared" ref="H113:H118" si="46">F113*G113</f>
        <v>4683.8999999999996</v>
      </c>
      <c r="I113" s="60">
        <v>400</v>
      </c>
      <c r="J113" s="60"/>
      <c r="K113" s="72">
        <f>VLOOKUP($H$90,Tabisr,1)</f>
        <v>5081.01</v>
      </c>
      <c r="L113" s="68">
        <f>+H113-K113</f>
        <v>-397.11000000000058</v>
      </c>
      <c r="M113" s="73">
        <f>VLOOKUP($H$90,Tabisr,4)</f>
        <v>0.21360000000000001</v>
      </c>
      <c r="N113" s="72">
        <f>(H113-4244.01)*17.92%</f>
        <v>78.828287999999901</v>
      </c>
      <c r="O113" s="72">
        <v>388.05</v>
      </c>
      <c r="P113" s="72">
        <f>N113+O113</f>
        <v>466.87828799999988</v>
      </c>
      <c r="Q113" s="72">
        <f>VLOOKUP($H$90,Tabsub,3)</f>
        <v>0</v>
      </c>
      <c r="R113" s="60"/>
      <c r="S113" s="60"/>
      <c r="T113" s="60"/>
      <c r="U113" s="60"/>
      <c r="V113" s="68">
        <f t="shared" ref="V113:V118" si="47">H113+I113+J113-P113+Q113-R113-S113-T113-U113</f>
        <v>4617.0217119999998</v>
      </c>
      <c r="W113" s="68">
        <f t="shared" ref="W113:W118" si="48">V113-I113</f>
        <v>4217.0217119999998</v>
      </c>
      <c r="Y113" s="14">
        <f t="shared" ref="Y113:Y118" si="49">+H113+I113+J113+Q113-P113-R113-S113-T113-U113</f>
        <v>4617.0217119999998</v>
      </c>
      <c r="Z113" s="14">
        <f t="shared" ref="Z113:Z118" si="50">+V113-I113</f>
        <v>4217.0217119999998</v>
      </c>
    </row>
    <row r="114" spans="1:26" s="10" customFormat="1" x14ac:dyDescent="0.25">
      <c r="A114" s="31">
        <v>53</v>
      </c>
      <c r="B114" s="45">
        <v>1585781569</v>
      </c>
      <c r="C114" s="16" t="s">
        <v>211</v>
      </c>
      <c r="D114" s="151" t="s">
        <v>163</v>
      </c>
      <c r="E114" s="185" t="s">
        <v>112</v>
      </c>
      <c r="F114" s="63">
        <v>15</v>
      </c>
      <c r="G114" s="95">
        <v>263.56</v>
      </c>
      <c r="H114" s="64">
        <f t="shared" si="46"/>
        <v>3953.4</v>
      </c>
      <c r="I114" s="64">
        <v>400</v>
      </c>
      <c r="J114" s="31"/>
      <c r="K114" s="64">
        <f>VLOOKUP($H$28,Tabisr,1)</f>
        <v>3651.01</v>
      </c>
      <c r="L114" s="66">
        <f>+H114-K114</f>
        <v>302.38999999999987</v>
      </c>
      <c r="M114" s="67">
        <f>VLOOKUP($H$28,Tabisr,4)</f>
        <v>0.16</v>
      </c>
      <c r="N114" s="64">
        <f>(H114-3651.01)*16%</f>
        <v>48.382399999999983</v>
      </c>
      <c r="O114" s="64">
        <v>293.25</v>
      </c>
      <c r="P114" s="64">
        <f>O114+N114</f>
        <v>341.63239999999996</v>
      </c>
      <c r="Q114" s="64"/>
      <c r="R114" s="72"/>
      <c r="S114" s="72">
        <v>1052</v>
      </c>
      <c r="T114" s="64"/>
      <c r="U114" s="64"/>
      <c r="V114" s="68">
        <f t="shared" si="47"/>
        <v>2959.7675999999997</v>
      </c>
      <c r="W114" s="68">
        <f t="shared" si="48"/>
        <v>2559.7675999999997</v>
      </c>
      <c r="Y114" s="14">
        <f t="shared" si="49"/>
        <v>2959.7675999999997</v>
      </c>
      <c r="Z114" s="14">
        <f t="shared" si="50"/>
        <v>2559.7675999999997</v>
      </c>
    </row>
    <row r="115" spans="1:26" s="12" customFormat="1" x14ac:dyDescent="0.25">
      <c r="A115" s="30">
        <v>54</v>
      </c>
      <c r="B115" s="45">
        <v>1585781577</v>
      </c>
      <c r="C115" s="16" t="s">
        <v>235</v>
      </c>
      <c r="D115" s="16" t="s">
        <v>186</v>
      </c>
      <c r="E115" s="20" t="s">
        <v>78</v>
      </c>
      <c r="F115" s="63">
        <v>15</v>
      </c>
      <c r="G115" s="87">
        <v>263.56</v>
      </c>
      <c r="H115" s="72">
        <f t="shared" si="46"/>
        <v>3953.4</v>
      </c>
      <c r="I115" s="72">
        <v>400</v>
      </c>
      <c r="J115" s="72"/>
      <c r="K115" s="72">
        <f>VLOOKUP($H$28,Tabisr,1)</f>
        <v>3651.01</v>
      </c>
      <c r="L115" s="68">
        <f>+H115-K115</f>
        <v>302.38999999999987</v>
      </c>
      <c r="M115" s="73">
        <f>VLOOKUP($H$28,Tabisr,4)</f>
        <v>0.16</v>
      </c>
      <c r="N115" s="72">
        <f>(H115-3651.01)*16%</f>
        <v>48.382399999999983</v>
      </c>
      <c r="O115" s="72">
        <v>293.25</v>
      </c>
      <c r="P115" s="72">
        <f>O115+N115</f>
        <v>341.63239999999996</v>
      </c>
      <c r="Q115" s="72"/>
      <c r="R115" s="72"/>
      <c r="S115" s="72"/>
      <c r="T115" s="72"/>
      <c r="U115" s="72"/>
      <c r="V115" s="68">
        <f t="shared" si="47"/>
        <v>4011.7675999999997</v>
      </c>
      <c r="W115" s="68">
        <f t="shared" si="48"/>
        <v>3611.7675999999997</v>
      </c>
      <c r="Y115" s="24">
        <f t="shared" si="49"/>
        <v>4011.7675999999997</v>
      </c>
      <c r="Z115" s="24">
        <f t="shared" si="50"/>
        <v>3611.7675999999997</v>
      </c>
    </row>
    <row r="116" spans="1:26" s="10" customFormat="1" x14ac:dyDescent="0.25">
      <c r="A116" s="31">
        <v>55</v>
      </c>
      <c r="B116" s="45">
        <v>1585781585</v>
      </c>
      <c r="C116" s="16" t="s">
        <v>22</v>
      </c>
      <c r="D116" s="152" t="s">
        <v>186</v>
      </c>
      <c r="E116" s="185" t="s">
        <v>87</v>
      </c>
      <c r="F116" s="63">
        <v>15</v>
      </c>
      <c r="G116" s="95">
        <v>263.56</v>
      </c>
      <c r="H116" s="64">
        <f t="shared" si="46"/>
        <v>3953.4</v>
      </c>
      <c r="I116" s="64">
        <v>400</v>
      </c>
      <c r="J116" s="64"/>
      <c r="K116" s="64">
        <f>VLOOKUP($H$28,Tabisr,1)</f>
        <v>3651.01</v>
      </c>
      <c r="L116" s="66">
        <f>+H116-K116</f>
        <v>302.38999999999987</v>
      </c>
      <c r="M116" s="67">
        <f>VLOOKUP($H$28,Tabisr,4)</f>
        <v>0.16</v>
      </c>
      <c r="N116" s="64">
        <f>(H116-3651.01)*16%</f>
        <v>48.382399999999983</v>
      </c>
      <c r="O116" s="64">
        <v>293.25</v>
      </c>
      <c r="P116" s="64">
        <f>O116+N116</f>
        <v>341.63239999999996</v>
      </c>
      <c r="Q116" s="64"/>
      <c r="R116" s="64"/>
      <c r="S116" s="64"/>
      <c r="T116" s="64"/>
      <c r="U116" s="64"/>
      <c r="V116" s="68">
        <f t="shared" si="47"/>
        <v>4011.7675999999997</v>
      </c>
      <c r="W116" s="68">
        <f t="shared" si="48"/>
        <v>3611.7675999999997</v>
      </c>
      <c r="Y116" s="14">
        <f t="shared" si="49"/>
        <v>4011.7675999999997</v>
      </c>
      <c r="Z116" s="14">
        <f t="shared" si="50"/>
        <v>3611.7675999999997</v>
      </c>
    </row>
    <row r="117" spans="1:26" s="10" customFormat="1" x14ac:dyDescent="0.25">
      <c r="A117" s="30">
        <v>56</v>
      </c>
      <c r="B117" s="45">
        <v>1585781593</v>
      </c>
      <c r="C117" s="16" t="s">
        <v>16</v>
      </c>
      <c r="D117" s="152" t="s">
        <v>186</v>
      </c>
      <c r="E117" s="152" t="s">
        <v>150</v>
      </c>
      <c r="F117" s="63">
        <v>15</v>
      </c>
      <c r="G117" s="64">
        <v>263.56</v>
      </c>
      <c r="H117" s="64">
        <f t="shared" si="46"/>
        <v>3953.4</v>
      </c>
      <c r="I117" s="64">
        <v>400</v>
      </c>
      <c r="J117" s="64"/>
      <c r="K117" s="64">
        <f>VLOOKUP($H$290,Tabisr,1)</f>
        <v>3651.01</v>
      </c>
      <c r="L117" s="66">
        <f>+H117-K117</f>
        <v>302.38999999999987</v>
      </c>
      <c r="M117" s="67">
        <f>VLOOKUP($H$290,Tabisr,4)</f>
        <v>0.16</v>
      </c>
      <c r="N117" s="64">
        <f>(H117-3651.01)*16%</f>
        <v>48.382399999999983</v>
      </c>
      <c r="O117" s="64">
        <v>293.25</v>
      </c>
      <c r="P117" s="64">
        <f>O117+N117</f>
        <v>341.63239999999996</v>
      </c>
      <c r="Q117" s="64"/>
      <c r="R117" s="65">
        <v>450</v>
      </c>
      <c r="S117" s="65"/>
      <c r="T117" s="65"/>
      <c r="U117" s="65"/>
      <c r="V117" s="68">
        <f t="shared" si="47"/>
        <v>3561.7675999999997</v>
      </c>
      <c r="W117" s="68">
        <f t="shared" si="48"/>
        <v>3161.7675999999997</v>
      </c>
      <c r="Y117" s="14">
        <f t="shared" si="49"/>
        <v>3561.7675999999997</v>
      </c>
      <c r="Z117" s="14">
        <f t="shared" si="50"/>
        <v>3161.7675999999997</v>
      </c>
    </row>
    <row r="118" spans="1:26" s="10" customFormat="1" x14ac:dyDescent="0.25">
      <c r="A118" s="31">
        <v>57</v>
      </c>
      <c r="B118" s="45">
        <v>1585781607</v>
      </c>
      <c r="C118" s="16" t="s">
        <v>13</v>
      </c>
      <c r="D118" s="151" t="s">
        <v>170</v>
      </c>
      <c r="E118" s="185" t="s">
        <v>88</v>
      </c>
      <c r="F118" s="63">
        <v>15</v>
      </c>
      <c r="G118" s="95">
        <v>220.28</v>
      </c>
      <c r="H118" s="64">
        <f t="shared" si="46"/>
        <v>3304.2</v>
      </c>
      <c r="I118" s="64">
        <v>400</v>
      </c>
      <c r="J118" s="31"/>
      <c r="K118" s="64">
        <v>2077.5100000000002</v>
      </c>
      <c r="L118" s="66">
        <v>121.95</v>
      </c>
      <c r="M118" s="67">
        <v>0.10879999999999999</v>
      </c>
      <c r="N118" s="64">
        <f>(H118-2077.51)*10.88%</f>
        <v>133.46387199999995</v>
      </c>
      <c r="O118" s="72">
        <v>121.95</v>
      </c>
      <c r="P118" s="64">
        <f>N118+O118</f>
        <v>255.41387199999997</v>
      </c>
      <c r="Q118" s="64">
        <v>125.1</v>
      </c>
      <c r="R118" s="64"/>
      <c r="S118" s="64"/>
      <c r="T118" s="64"/>
      <c r="U118" s="64"/>
      <c r="V118" s="68">
        <f t="shared" si="47"/>
        <v>3573.8861279999996</v>
      </c>
      <c r="W118" s="68">
        <f t="shared" si="48"/>
        <v>3173.8861279999996</v>
      </c>
      <c r="Y118" s="14">
        <f t="shared" si="49"/>
        <v>3573.8861279999996</v>
      </c>
      <c r="Z118" s="14">
        <f t="shared" si="50"/>
        <v>3173.8861279999996</v>
      </c>
    </row>
    <row r="119" spans="1:26" s="10" customFormat="1" x14ac:dyDescent="0.25">
      <c r="A119" s="32"/>
      <c r="B119" s="50"/>
      <c r="C119" s="159"/>
      <c r="D119" s="160"/>
      <c r="E119" s="213"/>
      <c r="F119" s="84"/>
      <c r="G119" s="84"/>
      <c r="H119" s="85">
        <f>+SUM(H113:H118)</f>
        <v>23801.7</v>
      </c>
      <c r="I119" s="85">
        <f>+SUM(I113:I118)</f>
        <v>2400</v>
      </c>
      <c r="J119" s="85">
        <f t="shared" ref="J119:O119" si="51">+SUM(J113:J118)</f>
        <v>0</v>
      </c>
      <c r="K119" s="85">
        <f t="shared" si="51"/>
        <v>21762.560000000005</v>
      </c>
      <c r="L119" s="85">
        <f t="shared" si="51"/>
        <v>934.39999999999895</v>
      </c>
      <c r="M119" s="85">
        <f t="shared" si="51"/>
        <v>0.96240000000000014</v>
      </c>
      <c r="N119" s="85">
        <f t="shared" si="51"/>
        <v>405.82175999999981</v>
      </c>
      <c r="O119" s="85">
        <f t="shared" si="51"/>
        <v>1683</v>
      </c>
      <c r="P119" s="85">
        <f t="shared" ref="P119:W119" si="52">+SUM(P113:P118)</f>
        <v>2088.8217599999998</v>
      </c>
      <c r="Q119" s="85">
        <f t="shared" si="52"/>
        <v>125.1</v>
      </c>
      <c r="R119" s="85">
        <f t="shared" si="52"/>
        <v>450</v>
      </c>
      <c r="S119" s="85">
        <f t="shared" si="52"/>
        <v>1052</v>
      </c>
      <c r="T119" s="85">
        <f t="shared" si="52"/>
        <v>0</v>
      </c>
      <c r="U119" s="85">
        <f t="shared" si="52"/>
        <v>0</v>
      </c>
      <c r="V119" s="85">
        <f t="shared" si="52"/>
        <v>22735.978239999997</v>
      </c>
      <c r="W119" s="85">
        <f t="shared" si="52"/>
        <v>20335.978239999997</v>
      </c>
      <c r="Y119" s="15">
        <f>+SUM(Y113:Y118)</f>
        <v>22735.978239999997</v>
      </c>
      <c r="Z119" s="15">
        <f>+SUM(Z113:Z118)</f>
        <v>20335.978239999997</v>
      </c>
    </row>
    <row r="120" spans="1:26" s="10" customFormat="1" x14ac:dyDescent="0.25">
      <c r="A120" s="32"/>
      <c r="B120" s="50"/>
      <c r="C120" s="159"/>
      <c r="D120" s="160"/>
      <c r="E120" s="213"/>
      <c r="F120" s="84"/>
      <c r="G120" s="8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Y120" s="15"/>
      <c r="Z120" s="15"/>
    </row>
    <row r="121" spans="1:26" s="10" customFormat="1" x14ac:dyDescent="0.25">
      <c r="A121" s="32"/>
      <c r="B121" s="50"/>
      <c r="C121" s="159"/>
      <c r="D121" s="160"/>
      <c r="E121" s="213"/>
      <c r="F121" s="84"/>
      <c r="G121" s="8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Y121" s="15"/>
      <c r="Z121" s="15"/>
    </row>
    <row r="122" spans="1:26" s="10" customFormat="1" x14ac:dyDescent="0.25">
      <c r="A122" s="32"/>
      <c r="B122" s="50"/>
      <c r="C122" s="159"/>
      <c r="D122" s="160"/>
      <c r="E122" s="213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Y122" s="14"/>
      <c r="Z122" s="14"/>
    </row>
    <row r="123" spans="1:26" s="10" customFormat="1" ht="18.75" x14ac:dyDescent="0.25">
      <c r="A123" s="266" t="s">
        <v>392</v>
      </c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Y123" s="14"/>
      <c r="Z123" s="14"/>
    </row>
    <row r="124" spans="1:26" s="10" customFormat="1" ht="32.25" customHeight="1" x14ac:dyDescent="0.25">
      <c r="A124" s="29" t="s">
        <v>69</v>
      </c>
      <c r="B124" s="223" t="s">
        <v>584</v>
      </c>
      <c r="C124" s="29" t="s">
        <v>17</v>
      </c>
      <c r="D124" s="29" t="s">
        <v>161</v>
      </c>
      <c r="E124" s="29" t="s">
        <v>143</v>
      </c>
      <c r="F124" s="29" t="s">
        <v>27</v>
      </c>
      <c r="G124" s="29" t="s">
        <v>19</v>
      </c>
      <c r="H124" s="29" t="s">
        <v>18</v>
      </c>
      <c r="I124" s="29" t="s">
        <v>66</v>
      </c>
      <c r="J124" s="29" t="s">
        <v>74</v>
      </c>
      <c r="K124" s="47" t="s">
        <v>301</v>
      </c>
      <c r="L124" s="47" t="s">
        <v>302</v>
      </c>
      <c r="M124" s="47" t="s">
        <v>303</v>
      </c>
      <c r="N124" s="47" t="s">
        <v>304</v>
      </c>
      <c r="O124" s="29" t="s">
        <v>305</v>
      </c>
      <c r="P124" s="29" t="s">
        <v>67</v>
      </c>
      <c r="Q124" s="29" t="s">
        <v>68</v>
      </c>
      <c r="R124" s="29" t="s">
        <v>20</v>
      </c>
      <c r="S124" s="29" t="s">
        <v>452</v>
      </c>
      <c r="T124" s="29" t="s">
        <v>72</v>
      </c>
      <c r="U124" s="29" t="s">
        <v>157</v>
      </c>
      <c r="V124" s="29" t="s">
        <v>155</v>
      </c>
      <c r="W124" s="29" t="s">
        <v>156</v>
      </c>
      <c r="Y124" s="14"/>
      <c r="Z124" s="14"/>
    </row>
    <row r="125" spans="1:26" s="10" customFormat="1" ht="23.25" customHeight="1" x14ac:dyDescent="0.25">
      <c r="A125" s="30">
        <v>58</v>
      </c>
      <c r="B125" s="45">
        <v>1585781615</v>
      </c>
      <c r="C125" s="16" t="s">
        <v>23</v>
      </c>
      <c r="D125" s="16" t="s">
        <v>421</v>
      </c>
      <c r="E125" s="20" t="s">
        <v>89</v>
      </c>
      <c r="F125" s="63">
        <v>15</v>
      </c>
      <c r="G125" s="72">
        <v>661.33</v>
      </c>
      <c r="H125" s="72">
        <f t="shared" ref="H125:H131" si="53">F125*G125</f>
        <v>9919.9500000000007</v>
      </c>
      <c r="I125" s="60"/>
      <c r="J125" s="60"/>
      <c r="K125" s="72">
        <v>5081</v>
      </c>
      <c r="L125" s="68">
        <f t="shared" ref="L125:L131" si="54">+H125-K125</f>
        <v>4838.9500000000007</v>
      </c>
      <c r="M125" s="73">
        <v>0.21360000000000001</v>
      </c>
      <c r="N125" s="72">
        <f>(H125-5081.01)*21.36%</f>
        <v>1033.5975840000001</v>
      </c>
      <c r="O125" s="72">
        <v>538.20000000000005</v>
      </c>
      <c r="P125" s="72">
        <f>N125+O125</f>
        <v>1571.7975840000001</v>
      </c>
      <c r="Q125" s="72"/>
      <c r="R125" s="60"/>
      <c r="S125" s="60"/>
      <c r="T125" s="60"/>
      <c r="U125" s="60"/>
      <c r="V125" s="68">
        <f t="shared" ref="V125:V131" si="55">H125+I125+J125-P125+Q125-R125-S125-T125-U125</f>
        <v>8348.1524160000008</v>
      </c>
      <c r="W125" s="68">
        <f t="shared" ref="W125:W131" si="56">V125-I125</f>
        <v>8348.1524160000008</v>
      </c>
      <c r="Y125" s="14">
        <f t="shared" ref="Y125:Y131" si="57">+H125+I125+J125+Q125-P125-R125-S125-T125-U125</f>
        <v>8348.1524160000008</v>
      </c>
      <c r="Z125" s="14">
        <f t="shared" ref="Z125:Z131" si="58">+V125-I125</f>
        <v>8348.1524160000008</v>
      </c>
    </row>
    <row r="126" spans="1:26" s="12" customFormat="1" ht="22.5" x14ac:dyDescent="0.25">
      <c r="A126" s="35">
        <v>59</v>
      </c>
      <c r="B126" s="45">
        <v>1520306104</v>
      </c>
      <c r="C126" s="16" t="s">
        <v>477</v>
      </c>
      <c r="D126" s="16" t="s">
        <v>489</v>
      </c>
      <c r="E126" s="162" t="s">
        <v>478</v>
      </c>
      <c r="F126" s="63">
        <v>15</v>
      </c>
      <c r="G126" s="72">
        <v>414.83</v>
      </c>
      <c r="H126" s="72">
        <f t="shared" si="53"/>
        <v>6222.45</v>
      </c>
      <c r="I126" s="60">
        <v>400</v>
      </c>
      <c r="J126" s="60"/>
      <c r="K126" s="72">
        <f>VLOOKUP($H$209,Tabisr,1)</f>
        <v>5081.01</v>
      </c>
      <c r="L126" s="68">
        <f t="shared" si="54"/>
        <v>1141.4399999999996</v>
      </c>
      <c r="M126" s="73">
        <f>VLOOKUP($H$209,Tabisr,4)</f>
        <v>0.21360000000000001</v>
      </c>
      <c r="N126" s="72">
        <f>+L126*M126</f>
        <v>243.81158399999993</v>
      </c>
      <c r="O126" s="72">
        <f>VLOOKUP($H$209,Tabisr,3)</f>
        <v>538.20000000000005</v>
      </c>
      <c r="P126" s="72">
        <f>+N126+O126</f>
        <v>782.01158399999997</v>
      </c>
      <c r="Q126" s="72"/>
      <c r="R126" s="60"/>
      <c r="S126" s="60"/>
      <c r="T126" s="60"/>
      <c r="U126" s="60"/>
      <c r="V126" s="68">
        <f t="shared" si="55"/>
        <v>5840.438416</v>
      </c>
      <c r="W126" s="68">
        <f t="shared" si="56"/>
        <v>5440.438416</v>
      </c>
      <c r="Y126" s="14">
        <f t="shared" si="57"/>
        <v>5840.438416</v>
      </c>
      <c r="Z126" s="14">
        <f t="shared" si="58"/>
        <v>5440.438416</v>
      </c>
    </row>
    <row r="127" spans="1:26" s="10" customFormat="1" ht="20.25" customHeight="1" x14ac:dyDescent="0.25">
      <c r="A127" s="30">
        <v>60</v>
      </c>
      <c r="B127" s="45">
        <v>1585781623</v>
      </c>
      <c r="C127" s="16" t="s">
        <v>592</v>
      </c>
      <c r="D127" s="16" t="s">
        <v>572</v>
      </c>
      <c r="E127" s="162" t="s">
        <v>602</v>
      </c>
      <c r="F127" s="63">
        <v>15</v>
      </c>
      <c r="G127" s="96">
        <v>264.52</v>
      </c>
      <c r="H127" s="72">
        <f t="shared" si="53"/>
        <v>3967.7999999999997</v>
      </c>
      <c r="I127" s="60">
        <v>400</v>
      </c>
      <c r="J127" s="60"/>
      <c r="K127" s="72">
        <v>5083</v>
      </c>
      <c r="L127" s="68">
        <f t="shared" si="54"/>
        <v>-1115.2000000000003</v>
      </c>
      <c r="M127" s="73">
        <v>2.2136</v>
      </c>
      <c r="N127" s="72">
        <f>(H127-5081.01)*21.36%</f>
        <v>-237.78165600000008</v>
      </c>
      <c r="O127" s="72">
        <v>540.20000000000005</v>
      </c>
      <c r="P127" s="72">
        <f>N127+O127</f>
        <v>302.41834399999993</v>
      </c>
      <c r="Q127" s="72"/>
      <c r="R127" s="60"/>
      <c r="S127" s="60"/>
      <c r="T127" s="60"/>
      <c r="U127" s="60"/>
      <c r="V127" s="68">
        <f t="shared" si="55"/>
        <v>4065.3816559999996</v>
      </c>
      <c r="W127" s="68">
        <f t="shared" si="56"/>
        <v>3665.3816559999996</v>
      </c>
      <c r="Y127" s="14">
        <f t="shared" si="57"/>
        <v>4065.3816559999996</v>
      </c>
      <c r="Z127" s="14">
        <f t="shared" si="58"/>
        <v>3665.3816559999996</v>
      </c>
    </row>
    <row r="128" spans="1:26" s="10" customFormat="1" ht="24" customHeight="1" x14ac:dyDescent="0.25">
      <c r="A128" s="35">
        <v>61</v>
      </c>
      <c r="B128" s="45">
        <v>1585781632</v>
      </c>
      <c r="C128" s="16" t="s">
        <v>593</v>
      </c>
      <c r="D128" s="16" t="s">
        <v>594</v>
      </c>
      <c r="E128" s="162" t="s">
        <v>603</v>
      </c>
      <c r="F128" s="63">
        <v>15</v>
      </c>
      <c r="G128" s="96">
        <v>264.52</v>
      </c>
      <c r="H128" s="72">
        <f t="shared" si="53"/>
        <v>3967.7999999999997</v>
      </c>
      <c r="I128" s="60">
        <v>400</v>
      </c>
      <c r="J128" s="60"/>
      <c r="K128" s="72">
        <v>5083</v>
      </c>
      <c r="L128" s="68">
        <f t="shared" si="54"/>
        <v>-1115.2000000000003</v>
      </c>
      <c r="M128" s="73">
        <v>2.2136</v>
      </c>
      <c r="N128" s="72">
        <f>(H128-5081.01)*21.36%</f>
        <v>-237.78165600000008</v>
      </c>
      <c r="O128" s="72">
        <v>540.20000000000005</v>
      </c>
      <c r="P128" s="72">
        <f>N128+O128</f>
        <v>302.41834399999993</v>
      </c>
      <c r="Q128" s="72"/>
      <c r="R128" s="60"/>
      <c r="S128" s="60">
        <v>800</v>
      </c>
      <c r="T128" s="60"/>
      <c r="U128" s="60"/>
      <c r="V128" s="68">
        <f t="shared" si="55"/>
        <v>3265.3816559999996</v>
      </c>
      <c r="W128" s="68">
        <f t="shared" si="56"/>
        <v>2865.3816559999996</v>
      </c>
      <c r="Y128" s="14">
        <f t="shared" si="57"/>
        <v>3265.3816559999996</v>
      </c>
      <c r="Z128" s="14">
        <f t="shared" si="58"/>
        <v>2865.3816559999996</v>
      </c>
    </row>
    <row r="129" spans="1:26" s="10" customFormat="1" x14ac:dyDescent="0.25">
      <c r="A129" s="30">
        <v>62</v>
      </c>
      <c r="B129" s="45">
        <v>1585781640</v>
      </c>
      <c r="C129" s="16" t="s">
        <v>479</v>
      </c>
      <c r="D129" s="151" t="s">
        <v>480</v>
      </c>
      <c r="E129" s="163" t="s">
        <v>481</v>
      </c>
      <c r="F129" s="63">
        <v>15</v>
      </c>
      <c r="G129" s="96">
        <v>264.52</v>
      </c>
      <c r="H129" s="72">
        <f t="shared" si="53"/>
        <v>3967.7999999999997</v>
      </c>
      <c r="I129" s="60">
        <v>400</v>
      </c>
      <c r="J129" s="60"/>
      <c r="K129" s="72">
        <v>5083</v>
      </c>
      <c r="L129" s="68">
        <f t="shared" si="54"/>
        <v>-1115.2000000000003</v>
      </c>
      <c r="M129" s="73">
        <v>2.2136</v>
      </c>
      <c r="N129" s="72">
        <f>(H129-5081.01)*21.36%</f>
        <v>-237.78165600000008</v>
      </c>
      <c r="O129" s="72">
        <v>540.20000000000005</v>
      </c>
      <c r="P129" s="72">
        <f>N129+O129</f>
        <v>302.41834399999993</v>
      </c>
      <c r="Q129" s="72"/>
      <c r="R129" s="60"/>
      <c r="S129" s="60"/>
      <c r="T129" s="60"/>
      <c r="U129" s="60"/>
      <c r="V129" s="68">
        <f t="shared" si="55"/>
        <v>4065.3816559999996</v>
      </c>
      <c r="W129" s="68">
        <f t="shared" si="56"/>
        <v>3665.3816559999996</v>
      </c>
      <c r="Y129" s="14">
        <f t="shared" si="57"/>
        <v>4065.3816559999996</v>
      </c>
      <c r="Z129" s="14">
        <f t="shared" si="58"/>
        <v>3665.3816559999996</v>
      </c>
    </row>
    <row r="130" spans="1:26" s="10" customFormat="1" x14ac:dyDescent="0.25">
      <c r="A130" s="35">
        <v>63</v>
      </c>
      <c r="B130" s="45">
        <v>1585781658</v>
      </c>
      <c r="C130" s="16" t="s">
        <v>484</v>
      </c>
      <c r="D130" s="151" t="s">
        <v>480</v>
      </c>
      <c r="E130" s="163" t="s">
        <v>486</v>
      </c>
      <c r="F130" s="63">
        <v>15</v>
      </c>
      <c r="G130" s="72">
        <v>264.52</v>
      </c>
      <c r="H130" s="72">
        <f t="shared" si="53"/>
        <v>3967.7999999999997</v>
      </c>
      <c r="I130" s="60">
        <v>400</v>
      </c>
      <c r="J130" s="60"/>
      <c r="K130" s="72">
        <v>5084</v>
      </c>
      <c r="L130" s="68">
        <f t="shared" si="54"/>
        <v>-1116.2000000000003</v>
      </c>
      <c r="M130" s="73">
        <v>3.2136</v>
      </c>
      <c r="N130" s="72">
        <f>(H130-5081.01)*21.36%</f>
        <v>-237.78165600000008</v>
      </c>
      <c r="O130" s="72">
        <v>541.20000000000005</v>
      </c>
      <c r="P130" s="72">
        <f>N130+O130</f>
        <v>303.41834399999993</v>
      </c>
      <c r="Q130" s="72"/>
      <c r="R130" s="60"/>
      <c r="S130" s="60"/>
      <c r="T130" s="60"/>
      <c r="U130" s="60"/>
      <c r="V130" s="68">
        <f t="shared" si="55"/>
        <v>4064.3816559999996</v>
      </c>
      <c r="W130" s="68">
        <f t="shared" si="56"/>
        <v>3664.3816559999996</v>
      </c>
      <c r="Y130" s="14">
        <f t="shared" si="57"/>
        <v>4064.3816559999996</v>
      </c>
      <c r="Z130" s="14">
        <f t="shared" si="58"/>
        <v>3664.3816559999996</v>
      </c>
    </row>
    <row r="131" spans="1:26" s="10" customFormat="1" ht="21" customHeight="1" x14ac:dyDescent="0.25">
      <c r="A131" s="30">
        <v>64</v>
      </c>
      <c r="B131" s="45">
        <v>1585781674</v>
      </c>
      <c r="C131" s="16" t="s">
        <v>63</v>
      </c>
      <c r="D131" s="16" t="s">
        <v>572</v>
      </c>
      <c r="E131" s="162" t="s">
        <v>83</v>
      </c>
      <c r="F131" s="63">
        <v>15</v>
      </c>
      <c r="G131" s="72">
        <v>264.52</v>
      </c>
      <c r="H131" s="72">
        <f t="shared" si="53"/>
        <v>3967.7999999999997</v>
      </c>
      <c r="I131" s="60">
        <v>400</v>
      </c>
      <c r="J131" s="60"/>
      <c r="K131" s="72">
        <v>5086</v>
      </c>
      <c r="L131" s="68">
        <f t="shared" si="54"/>
        <v>-1118.2000000000003</v>
      </c>
      <c r="M131" s="73">
        <v>5.2135999999999996</v>
      </c>
      <c r="N131" s="72">
        <f>(H131-5081.01)*21.36%</f>
        <v>-237.78165600000008</v>
      </c>
      <c r="O131" s="72">
        <v>543.20000000000005</v>
      </c>
      <c r="P131" s="72">
        <f>N131+O131</f>
        <v>305.41834399999993</v>
      </c>
      <c r="Q131" s="72"/>
      <c r="R131" s="60"/>
      <c r="S131" s="60"/>
      <c r="T131" s="60"/>
      <c r="U131" s="60"/>
      <c r="V131" s="68">
        <f t="shared" si="55"/>
        <v>4062.3816559999996</v>
      </c>
      <c r="W131" s="68">
        <f t="shared" si="56"/>
        <v>3662.3816559999996</v>
      </c>
      <c r="Y131" s="14">
        <f t="shared" si="57"/>
        <v>4062.3816559999996</v>
      </c>
      <c r="Z131" s="14">
        <f t="shared" si="58"/>
        <v>3662.3816559999996</v>
      </c>
    </row>
    <row r="132" spans="1:26" s="10" customFormat="1" x14ac:dyDescent="0.25">
      <c r="A132" s="32"/>
      <c r="B132" s="50"/>
      <c r="C132" s="159"/>
      <c r="D132" s="160"/>
      <c r="E132" s="213"/>
      <c r="F132" s="84"/>
      <c r="G132" s="84"/>
      <c r="H132" s="89">
        <f>SUM(H125:H131)</f>
        <v>35981.4</v>
      </c>
      <c r="I132" s="89">
        <f>SUM(I125:I131)</f>
        <v>2400</v>
      </c>
      <c r="J132" s="89">
        <f t="shared" ref="J132:W132" si="59">SUM(J125:J131)</f>
        <v>0</v>
      </c>
      <c r="K132" s="89">
        <f t="shared" si="59"/>
        <v>35581.01</v>
      </c>
      <c r="L132" s="89">
        <f t="shared" si="59"/>
        <v>400.38999999999942</v>
      </c>
      <c r="M132" s="89">
        <f t="shared" si="59"/>
        <v>15.495199999999999</v>
      </c>
      <c r="N132" s="89">
        <f t="shared" si="59"/>
        <v>88.500887999999605</v>
      </c>
      <c r="O132" s="89">
        <f t="shared" si="59"/>
        <v>3781.3999999999996</v>
      </c>
      <c r="P132" s="89">
        <f t="shared" si="59"/>
        <v>3869.9008879999992</v>
      </c>
      <c r="Q132" s="89">
        <f t="shared" si="59"/>
        <v>0</v>
      </c>
      <c r="R132" s="89">
        <f t="shared" si="59"/>
        <v>0</v>
      </c>
      <c r="S132" s="89">
        <f t="shared" si="59"/>
        <v>800</v>
      </c>
      <c r="T132" s="89">
        <f t="shared" si="59"/>
        <v>0</v>
      </c>
      <c r="U132" s="89">
        <f t="shared" si="59"/>
        <v>0</v>
      </c>
      <c r="V132" s="89">
        <f t="shared" si="59"/>
        <v>33711.49911199999</v>
      </c>
      <c r="W132" s="89">
        <f t="shared" si="59"/>
        <v>31311.49911199999</v>
      </c>
      <c r="Y132" s="15">
        <f>SUM(Y125:Y131)</f>
        <v>33711.49911199999</v>
      </c>
      <c r="Z132" s="15">
        <f>SUM(Z125:Z131)</f>
        <v>31311.49911199999</v>
      </c>
    </row>
    <row r="133" spans="1:26" s="10" customFormat="1" x14ac:dyDescent="0.25">
      <c r="A133" s="32"/>
      <c r="B133" s="50"/>
      <c r="C133" s="159"/>
      <c r="D133" s="160"/>
      <c r="E133" s="213"/>
      <c r="F133" s="84"/>
      <c r="G133" s="84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Y133" s="15"/>
      <c r="Z133" s="15"/>
    </row>
    <row r="134" spans="1:26" s="10" customFormat="1" x14ac:dyDescent="0.25">
      <c r="A134" s="32"/>
      <c r="B134" s="50"/>
      <c r="C134" s="159"/>
      <c r="D134" s="160"/>
      <c r="E134" s="213"/>
      <c r="F134" s="84"/>
      <c r="G134" s="84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Y134" s="15"/>
      <c r="Z134" s="15"/>
    </row>
    <row r="135" spans="1:26" s="10" customFormat="1" x14ac:dyDescent="0.25">
      <c r="A135" s="32"/>
      <c r="B135" s="50"/>
      <c r="C135" s="159"/>
      <c r="D135" s="160"/>
      <c r="E135" s="213"/>
      <c r="F135" s="84"/>
      <c r="G135" s="84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Y135" s="14"/>
      <c r="Z135" s="14"/>
    </row>
    <row r="136" spans="1:26" s="10" customFormat="1" ht="18.75" x14ac:dyDescent="0.25">
      <c r="A136" s="266" t="s">
        <v>393</v>
      </c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Y136" s="14"/>
      <c r="Z136" s="14"/>
    </row>
    <row r="137" spans="1:26" s="10" customFormat="1" ht="35.25" customHeight="1" x14ac:dyDescent="0.25">
      <c r="A137" s="29" t="s">
        <v>69</v>
      </c>
      <c r="B137" s="223" t="s">
        <v>584</v>
      </c>
      <c r="C137" s="29" t="s">
        <v>17</v>
      </c>
      <c r="D137" s="29" t="s">
        <v>161</v>
      </c>
      <c r="E137" s="29" t="s">
        <v>143</v>
      </c>
      <c r="F137" s="29" t="s">
        <v>27</v>
      </c>
      <c r="G137" s="29" t="s">
        <v>19</v>
      </c>
      <c r="H137" s="29" t="s">
        <v>18</v>
      </c>
      <c r="I137" s="29" t="s">
        <v>66</v>
      </c>
      <c r="J137" s="29" t="s">
        <v>74</v>
      </c>
      <c r="K137" s="47" t="s">
        <v>301</v>
      </c>
      <c r="L137" s="47" t="s">
        <v>302</v>
      </c>
      <c r="M137" s="47" t="s">
        <v>303</v>
      </c>
      <c r="N137" s="47" t="s">
        <v>304</v>
      </c>
      <c r="O137" s="29" t="s">
        <v>305</v>
      </c>
      <c r="P137" s="29" t="s">
        <v>67</v>
      </c>
      <c r="Q137" s="29" t="s">
        <v>68</v>
      </c>
      <c r="R137" s="29" t="s">
        <v>20</v>
      </c>
      <c r="S137" s="29" t="s">
        <v>452</v>
      </c>
      <c r="T137" s="29" t="s">
        <v>72</v>
      </c>
      <c r="U137" s="29" t="s">
        <v>157</v>
      </c>
      <c r="V137" s="29" t="s">
        <v>155</v>
      </c>
      <c r="W137" s="29" t="s">
        <v>156</v>
      </c>
      <c r="Y137" s="14"/>
      <c r="Z137" s="14"/>
    </row>
    <row r="138" spans="1:26" s="10" customFormat="1" x14ac:dyDescent="0.25">
      <c r="A138" s="30">
        <v>65</v>
      </c>
      <c r="B138" s="45">
        <v>1585781691</v>
      </c>
      <c r="C138" s="16" t="s">
        <v>1</v>
      </c>
      <c r="D138" s="18" t="s">
        <v>309</v>
      </c>
      <c r="E138" s="20" t="s">
        <v>209</v>
      </c>
      <c r="F138" s="63">
        <v>15</v>
      </c>
      <c r="G138" s="72">
        <v>661.33</v>
      </c>
      <c r="H138" s="72">
        <f t="shared" ref="H138:H145" si="60">F138*G138</f>
        <v>9919.9500000000007</v>
      </c>
      <c r="I138" s="72"/>
      <c r="J138" s="30"/>
      <c r="K138" s="72">
        <f>VLOOKUP($H$138,Tabisr,1)</f>
        <v>5081.01</v>
      </c>
      <c r="L138" s="68">
        <f>+H138-K138</f>
        <v>4838.9400000000005</v>
      </c>
      <c r="M138" s="73">
        <f>VLOOKUP($H$138,Tabisr,4)</f>
        <v>0.21360000000000001</v>
      </c>
      <c r="N138" s="72">
        <f>(H138-5081.01)*21.36%</f>
        <v>1033.5975840000001</v>
      </c>
      <c r="O138" s="72">
        <v>538.20000000000005</v>
      </c>
      <c r="P138" s="72">
        <f>N138+O138</f>
        <v>1571.7975840000001</v>
      </c>
      <c r="Q138" s="72">
        <f>VLOOKUP($H$138,Tabsub,3)</f>
        <v>0</v>
      </c>
      <c r="R138" s="72">
        <v>1300</v>
      </c>
      <c r="S138" s="72"/>
      <c r="T138" s="72"/>
      <c r="U138" s="72"/>
      <c r="V138" s="68">
        <f>H138+I138+J138-P138+Q138-R138-S138-T138-U138</f>
        <v>7048.1524160000008</v>
      </c>
      <c r="W138" s="68">
        <f>V138-I138</f>
        <v>7048.1524160000008</v>
      </c>
      <c r="Y138" s="14">
        <f t="shared" ref="Y138:Y148" si="61">+H138+I138+J138+Q138-P138-R138-S138-T138-U138</f>
        <v>7048.1524160000008</v>
      </c>
      <c r="Z138" s="14">
        <f t="shared" ref="Z138:Z148" si="62">+V138-I138</f>
        <v>7048.1524160000008</v>
      </c>
    </row>
    <row r="139" spans="1:26" s="12" customFormat="1" x14ac:dyDescent="0.25">
      <c r="A139" s="30">
        <v>66</v>
      </c>
      <c r="B139" s="45">
        <v>1585781704</v>
      </c>
      <c r="C139" s="16" t="s">
        <v>415</v>
      </c>
      <c r="D139" s="16" t="s">
        <v>169</v>
      </c>
      <c r="E139" s="20" t="s">
        <v>318</v>
      </c>
      <c r="F139" s="63">
        <v>15</v>
      </c>
      <c r="G139" s="87">
        <v>263.56</v>
      </c>
      <c r="H139" s="72">
        <f t="shared" si="60"/>
        <v>3953.4</v>
      </c>
      <c r="I139" s="72">
        <v>400</v>
      </c>
      <c r="J139" s="30"/>
      <c r="K139" s="72">
        <f t="shared" ref="K139:K145" si="63">VLOOKUP($H$28,Tabisr,1)</f>
        <v>3651.01</v>
      </c>
      <c r="L139" s="68">
        <f>+H139-K139</f>
        <v>302.38999999999987</v>
      </c>
      <c r="M139" s="73">
        <f t="shared" ref="M139:M145" si="64">VLOOKUP($H$28,Tabisr,4)</f>
        <v>0.16</v>
      </c>
      <c r="N139" s="72">
        <f>(H139-3651.01)*16%</f>
        <v>48.382399999999983</v>
      </c>
      <c r="O139" s="72">
        <v>293.25</v>
      </c>
      <c r="P139" s="72">
        <f>O139+N139</f>
        <v>341.63239999999996</v>
      </c>
      <c r="Q139" s="72"/>
      <c r="R139" s="72"/>
      <c r="S139" s="72"/>
      <c r="T139" s="72"/>
      <c r="U139" s="72"/>
      <c r="V139" s="68">
        <f>H139+I139+J139-P139+Q139-R139-S139-T139-U139</f>
        <v>4011.7675999999997</v>
      </c>
      <c r="W139" s="68">
        <f>V139-I139</f>
        <v>3611.7675999999997</v>
      </c>
      <c r="Y139" s="24">
        <f t="shared" si="61"/>
        <v>4011.7675999999997</v>
      </c>
      <c r="Z139" s="24">
        <f t="shared" si="62"/>
        <v>3611.7675999999997</v>
      </c>
    </row>
    <row r="140" spans="1:26" s="10" customFormat="1" x14ac:dyDescent="0.25">
      <c r="A140" s="30">
        <v>67</v>
      </c>
      <c r="B140" s="45">
        <v>2842635933</v>
      </c>
      <c r="C140" s="16" t="s">
        <v>459</v>
      </c>
      <c r="D140" s="152" t="s">
        <v>171</v>
      </c>
      <c r="E140" s="185" t="s">
        <v>460</v>
      </c>
      <c r="F140" s="63">
        <v>15</v>
      </c>
      <c r="G140" s="95">
        <v>263.56</v>
      </c>
      <c r="H140" s="64">
        <f t="shared" si="60"/>
        <v>3953.4</v>
      </c>
      <c r="I140" s="64">
        <v>400</v>
      </c>
      <c r="J140" s="31"/>
      <c r="K140" s="64">
        <f t="shared" si="63"/>
        <v>3651.01</v>
      </c>
      <c r="L140" s="66">
        <f>+H140-K140</f>
        <v>302.38999999999987</v>
      </c>
      <c r="M140" s="67">
        <f t="shared" si="64"/>
        <v>0.16</v>
      </c>
      <c r="N140" s="64">
        <f>(H140-3651.01)*16%</f>
        <v>48.382399999999983</v>
      </c>
      <c r="O140" s="64">
        <v>293.25</v>
      </c>
      <c r="P140" s="64">
        <f>O140+N140</f>
        <v>341.63239999999996</v>
      </c>
      <c r="Q140" s="64">
        <f t="shared" ref="Q140:Q145" si="65">VLOOKUP($H$140,Tabsub,3)</f>
        <v>0</v>
      </c>
      <c r="R140" s="64"/>
      <c r="S140" s="64"/>
      <c r="T140" s="64"/>
      <c r="U140" s="64"/>
      <c r="V140" s="68">
        <f>H140+I140+J140-P140+Q140-R140-S140-T140-U140</f>
        <v>4011.7675999999997</v>
      </c>
      <c r="W140" s="66">
        <f>V140-I140</f>
        <v>3611.7675999999997</v>
      </c>
      <c r="Y140" s="14">
        <f t="shared" si="61"/>
        <v>4011.7675999999997</v>
      </c>
      <c r="Z140" s="14">
        <f t="shared" si="62"/>
        <v>3611.7675999999997</v>
      </c>
    </row>
    <row r="141" spans="1:26" s="10" customFormat="1" x14ac:dyDescent="0.25">
      <c r="A141" s="31">
        <v>68</v>
      </c>
      <c r="B141" s="45">
        <v>2893228576</v>
      </c>
      <c r="C141" s="16" t="s">
        <v>612</v>
      </c>
      <c r="D141" s="16" t="s">
        <v>573</v>
      </c>
      <c r="E141" s="20" t="s">
        <v>613</v>
      </c>
      <c r="F141" s="63">
        <v>15</v>
      </c>
      <c r="G141" s="75">
        <v>153.97999999999999</v>
      </c>
      <c r="H141" s="72">
        <f t="shared" si="60"/>
        <v>2309.6999999999998</v>
      </c>
      <c r="I141" s="72">
        <v>400</v>
      </c>
      <c r="J141" s="30"/>
      <c r="K141" s="72">
        <f t="shared" si="63"/>
        <v>3651.01</v>
      </c>
      <c r="L141" s="68">
        <f>+H141-K141</f>
        <v>-1341.3100000000004</v>
      </c>
      <c r="M141" s="73">
        <f t="shared" si="64"/>
        <v>0.16</v>
      </c>
      <c r="N141" s="72">
        <f>(H141-3651.01)*16%</f>
        <v>-214.60960000000006</v>
      </c>
      <c r="O141" s="72">
        <v>294.25</v>
      </c>
      <c r="P141" s="72">
        <f>O141+N141</f>
        <v>79.640399999999943</v>
      </c>
      <c r="Q141" s="72">
        <f t="shared" si="65"/>
        <v>0</v>
      </c>
      <c r="R141" s="72"/>
      <c r="S141" s="72"/>
      <c r="T141" s="72"/>
      <c r="U141" s="72"/>
      <c r="V141" s="68">
        <f>H141+I141+J141-P141+Q141-R141-S141-T141-U141</f>
        <v>2630.0596</v>
      </c>
      <c r="W141" s="68">
        <f>V141-I141</f>
        <v>2230.0596</v>
      </c>
      <c r="Y141" s="14">
        <f t="shared" si="61"/>
        <v>2630.0596</v>
      </c>
      <c r="Z141" s="14">
        <f t="shared" si="62"/>
        <v>2230.0596</v>
      </c>
    </row>
    <row r="142" spans="1:26" s="10" customFormat="1" x14ac:dyDescent="0.25">
      <c r="A142" s="36">
        <v>69</v>
      </c>
      <c r="B142" s="51"/>
      <c r="C142" s="155" t="s">
        <v>458</v>
      </c>
      <c r="D142" s="155" t="s">
        <v>574</v>
      </c>
      <c r="E142" s="186"/>
      <c r="F142" s="78"/>
      <c r="G142" s="97">
        <v>153.97999999999999</v>
      </c>
      <c r="H142" s="79">
        <f t="shared" si="60"/>
        <v>0</v>
      </c>
      <c r="I142" s="79"/>
      <c r="J142" s="36"/>
      <c r="K142" s="79"/>
      <c r="L142" s="81"/>
      <c r="M142" s="82"/>
      <c r="N142" s="79"/>
      <c r="O142" s="79"/>
      <c r="P142" s="79"/>
      <c r="Q142" s="79"/>
      <c r="R142" s="79"/>
      <c r="S142" s="79"/>
      <c r="T142" s="79"/>
      <c r="U142" s="79"/>
      <c r="V142" s="81"/>
      <c r="W142" s="81"/>
      <c r="Y142" s="14"/>
      <c r="Z142" s="14">
        <f t="shared" si="62"/>
        <v>0</v>
      </c>
    </row>
    <row r="143" spans="1:26" s="10" customFormat="1" x14ac:dyDescent="0.25">
      <c r="A143" s="31">
        <v>70</v>
      </c>
      <c r="B143" s="45">
        <v>1588823530</v>
      </c>
      <c r="C143" s="16" t="s">
        <v>629</v>
      </c>
      <c r="D143" s="16" t="s">
        <v>575</v>
      </c>
      <c r="E143" s="20" t="s">
        <v>636</v>
      </c>
      <c r="F143" s="63">
        <v>15</v>
      </c>
      <c r="G143" s="75">
        <v>153.97999999999999</v>
      </c>
      <c r="H143" s="72">
        <f t="shared" si="60"/>
        <v>2309.6999999999998</v>
      </c>
      <c r="I143" s="72">
        <v>400</v>
      </c>
      <c r="J143" s="30"/>
      <c r="K143" s="72">
        <f t="shared" si="63"/>
        <v>3651.01</v>
      </c>
      <c r="L143" s="68">
        <f>+H143-K143</f>
        <v>-1341.3100000000004</v>
      </c>
      <c r="M143" s="73">
        <f t="shared" si="64"/>
        <v>0.16</v>
      </c>
      <c r="N143" s="72">
        <f>(H143-3651.01)*16%</f>
        <v>-214.60960000000006</v>
      </c>
      <c r="O143" s="72">
        <v>294.25</v>
      </c>
      <c r="P143" s="72">
        <f>O143+N143</f>
        <v>79.640399999999943</v>
      </c>
      <c r="Q143" s="72">
        <f t="shared" si="65"/>
        <v>0</v>
      </c>
      <c r="R143" s="72"/>
      <c r="S143" s="72"/>
      <c r="T143" s="72"/>
      <c r="U143" s="72"/>
      <c r="V143" s="68">
        <f>H143+I143+J143-P143+Q143-R143-S143-T143-U143</f>
        <v>2630.0596</v>
      </c>
      <c r="W143" s="68">
        <f>V143-I143</f>
        <v>2230.0596</v>
      </c>
      <c r="Y143" s="14">
        <f t="shared" si="61"/>
        <v>2630.0596</v>
      </c>
      <c r="Z143" s="14">
        <f t="shared" si="62"/>
        <v>2230.0596</v>
      </c>
    </row>
    <row r="144" spans="1:26" s="10" customFormat="1" x14ac:dyDescent="0.25">
      <c r="A144" s="30">
        <v>71</v>
      </c>
      <c r="B144" s="45">
        <v>1588683682</v>
      </c>
      <c r="C144" s="16" t="s">
        <v>630</v>
      </c>
      <c r="D144" s="16" t="s">
        <v>576</v>
      </c>
      <c r="E144" s="20" t="s">
        <v>635</v>
      </c>
      <c r="F144" s="63">
        <v>15</v>
      </c>
      <c r="G144" s="75">
        <v>153.97999999999999</v>
      </c>
      <c r="H144" s="72">
        <f t="shared" si="60"/>
        <v>2309.6999999999998</v>
      </c>
      <c r="I144" s="72">
        <v>400</v>
      </c>
      <c r="J144" s="30"/>
      <c r="K144" s="72">
        <f t="shared" si="63"/>
        <v>3651.01</v>
      </c>
      <c r="L144" s="68">
        <f>+H144-K144</f>
        <v>-1341.3100000000004</v>
      </c>
      <c r="M144" s="73">
        <f t="shared" si="64"/>
        <v>0.16</v>
      </c>
      <c r="N144" s="72">
        <f>(H144-3651.01)*16%</f>
        <v>-214.60960000000006</v>
      </c>
      <c r="O144" s="72">
        <v>294.25</v>
      </c>
      <c r="P144" s="72">
        <v>61.04</v>
      </c>
      <c r="Q144" s="72">
        <f t="shared" si="65"/>
        <v>0</v>
      </c>
      <c r="R144" s="72"/>
      <c r="S144" s="72"/>
      <c r="T144" s="72"/>
      <c r="U144" s="72"/>
      <c r="V144" s="68">
        <f>H144+I144+J144-P144+Q144-R144-S144-T144-U144</f>
        <v>2648.66</v>
      </c>
      <c r="W144" s="68">
        <f>V144-I144</f>
        <v>2248.66</v>
      </c>
      <c r="Y144" s="14">
        <f t="shared" si="61"/>
        <v>2648.66</v>
      </c>
      <c r="Z144" s="14">
        <f t="shared" si="62"/>
        <v>2248.66</v>
      </c>
    </row>
    <row r="145" spans="1:26" s="10" customFormat="1" ht="27" x14ac:dyDescent="0.25">
      <c r="A145" s="31">
        <v>72</v>
      </c>
      <c r="B145" s="45">
        <v>1256977170</v>
      </c>
      <c r="C145" s="16" t="s">
        <v>631</v>
      </c>
      <c r="D145" s="158" t="s">
        <v>577</v>
      </c>
      <c r="E145" s="20" t="s">
        <v>634</v>
      </c>
      <c r="F145" s="63">
        <v>15</v>
      </c>
      <c r="G145" s="75">
        <v>153.97999999999999</v>
      </c>
      <c r="H145" s="72">
        <f t="shared" si="60"/>
        <v>2309.6999999999998</v>
      </c>
      <c r="I145" s="72">
        <v>400</v>
      </c>
      <c r="J145" s="30"/>
      <c r="K145" s="72">
        <f t="shared" si="63"/>
        <v>3651.01</v>
      </c>
      <c r="L145" s="68">
        <f>+H145-K145</f>
        <v>-1341.3100000000004</v>
      </c>
      <c r="M145" s="73">
        <f t="shared" si="64"/>
        <v>0.16</v>
      </c>
      <c r="N145" s="72">
        <f>(H145-3651.01)*16%</f>
        <v>-214.60960000000006</v>
      </c>
      <c r="O145" s="72">
        <v>294.25</v>
      </c>
      <c r="P145" s="72">
        <v>61.04</v>
      </c>
      <c r="Q145" s="72">
        <f t="shared" si="65"/>
        <v>0</v>
      </c>
      <c r="R145" s="72"/>
      <c r="S145" s="72"/>
      <c r="T145" s="72"/>
      <c r="U145" s="72"/>
      <c r="V145" s="68">
        <f>H145+I145+J145-P145+Q145-R145-S145-T145-U145</f>
        <v>2648.66</v>
      </c>
      <c r="W145" s="68">
        <f>V145-I145</f>
        <v>2248.66</v>
      </c>
      <c r="Y145" s="14">
        <f t="shared" si="61"/>
        <v>2648.66</v>
      </c>
      <c r="Z145" s="14">
        <f t="shared" si="62"/>
        <v>2248.66</v>
      </c>
    </row>
    <row r="146" spans="1:26" s="10" customFormat="1" ht="22.5" x14ac:dyDescent="0.25">
      <c r="A146" s="36">
        <v>73</v>
      </c>
      <c r="B146" s="51"/>
      <c r="C146" s="155" t="s">
        <v>458</v>
      </c>
      <c r="D146" s="155" t="s">
        <v>578</v>
      </c>
      <c r="E146" s="186"/>
      <c r="F146" s="78"/>
      <c r="G146" s="97"/>
      <c r="H146" s="79"/>
      <c r="I146" s="79"/>
      <c r="J146" s="36"/>
      <c r="K146" s="79"/>
      <c r="L146" s="81"/>
      <c r="M146" s="82"/>
      <c r="N146" s="79"/>
      <c r="O146" s="79"/>
      <c r="P146" s="79"/>
      <c r="Q146" s="79"/>
      <c r="R146" s="79"/>
      <c r="S146" s="79"/>
      <c r="T146" s="79"/>
      <c r="U146" s="79"/>
      <c r="V146" s="81"/>
      <c r="W146" s="81"/>
      <c r="Y146" s="14">
        <f t="shared" si="61"/>
        <v>0</v>
      </c>
      <c r="Z146" s="14">
        <f t="shared" si="62"/>
        <v>0</v>
      </c>
    </row>
    <row r="147" spans="1:26" s="10" customFormat="1" ht="22.5" x14ac:dyDescent="0.25">
      <c r="A147" s="36">
        <v>74</v>
      </c>
      <c r="B147" s="51"/>
      <c r="C147" s="155" t="s">
        <v>458</v>
      </c>
      <c r="D147" s="155" t="s">
        <v>579</v>
      </c>
      <c r="E147" s="186"/>
      <c r="F147" s="78"/>
      <c r="G147" s="97"/>
      <c r="H147" s="79"/>
      <c r="I147" s="79"/>
      <c r="J147" s="36"/>
      <c r="K147" s="79"/>
      <c r="L147" s="81"/>
      <c r="M147" s="82"/>
      <c r="N147" s="79"/>
      <c r="O147" s="79"/>
      <c r="P147" s="79"/>
      <c r="Q147" s="79"/>
      <c r="R147" s="79"/>
      <c r="S147" s="79"/>
      <c r="T147" s="79"/>
      <c r="U147" s="79"/>
      <c r="V147" s="81"/>
      <c r="W147" s="81"/>
      <c r="Y147" s="14">
        <f t="shared" si="61"/>
        <v>0</v>
      </c>
      <c r="Z147" s="14">
        <f t="shared" si="62"/>
        <v>0</v>
      </c>
    </row>
    <row r="148" spans="1:26" s="10" customFormat="1" x14ac:dyDescent="0.25">
      <c r="A148" s="36">
        <v>75</v>
      </c>
      <c r="B148" s="51"/>
      <c r="C148" s="155" t="s">
        <v>458</v>
      </c>
      <c r="D148" s="155" t="s">
        <v>580</v>
      </c>
      <c r="E148" s="186"/>
      <c r="F148" s="78"/>
      <c r="G148" s="97"/>
      <c r="H148" s="79"/>
      <c r="I148" s="79"/>
      <c r="J148" s="36"/>
      <c r="K148" s="79"/>
      <c r="L148" s="81"/>
      <c r="M148" s="82"/>
      <c r="N148" s="79"/>
      <c r="O148" s="79"/>
      <c r="P148" s="79"/>
      <c r="Q148" s="79"/>
      <c r="R148" s="79"/>
      <c r="S148" s="79"/>
      <c r="T148" s="79"/>
      <c r="U148" s="79"/>
      <c r="V148" s="81"/>
      <c r="W148" s="81"/>
      <c r="Y148" s="14">
        <f t="shared" si="61"/>
        <v>0</v>
      </c>
      <c r="Z148" s="14">
        <f t="shared" si="62"/>
        <v>0</v>
      </c>
    </row>
    <row r="149" spans="1:26" s="10" customFormat="1" x14ac:dyDescent="0.25">
      <c r="A149" s="32"/>
      <c r="B149" s="50"/>
      <c r="C149" s="153"/>
      <c r="D149" s="26"/>
      <c r="E149" s="26"/>
      <c r="F149" s="69"/>
      <c r="G149" s="70"/>
      <c r="H149" s="76">
        <f>+SUM(H138:H148)</f>
        <v>27065.550000000003</v>
      </c>
      <c r="I149" s="76">
        <f>+SUM(I138:I148)</f>
        <v>2400</v>
      </c>
      <c r="J149" s="76">
        <f t="shared" ref="J149:W149" si="66">+SUM(J138:J148)</f>
        <v>0</v>
      </c>
      <c r="K149" s="76">
        <f t="shared" si="66"/>
        <v>26987.070000000007</v>
      </c>
      <c r="L149" s="76">
        <f t="shared" si="66"/>
        <v>78.479999999997744</v>
      </c>
      <c r="M149" s="76">
        <f t="shared" si="66"/>
        <v>1.1736</v>
      </c>
      <c r="N149" s="76">
        <f t="shared" si="66"/>
        <v>271.9239839999999</v>
      </c>
      <c r="O149" s="76">
        <f t="shared" si="66"/>
        <v>2301.6999999999998</v>
      </c>
      <c r="P149" s="76">
        <f t="shared" si="66"/>
        <v>2536.4231839999993</v>
      </c>
      <c r="Q149" s="76">
        <f t="shared" si="66"/>
        <v>0</v>
      </c>
      <c r="R149" s="76">
        <f t="shared" si="66"/>
        <v>1300</v>
      </c>
      <c r="S149" s="76">
        <f t="shared" si="66"/>
        <v>0</v>
      </c>
      <c r="T149" s="76">
        <f t="shared" si="66"/>
        <v>0</v>
      </c>
      <c r="U149" s="76">
        <f t="shared" si="66"/>
        <v>0</v>
      </c>
      <c r="V149" s="76">
        <f>+SUM(V138:V148)</f>
        <v>25629.126816</v>
      </c>
      <c r="W149" s="76">
        <f t="shared" si="66"/>
        <v>23229.126816</v>
      </c>
      <c r="Y149" s="15">
        <f>SUM(Y138:Y148)</f>
        <v>25629.126816</v>
      </c>
      <c r="Z149" s="15">
        <f>SUM(Z138:Z148)</f>
        <v>23229.126816</v>
      </c>
    </row>
    <row r="150" spans="1:26" s="10" customFormat="1" x14ac:dyDescent="0.25">
      <c r="A150" s="32"/>
      <c r="B150" s="50"/>
      <c r="C150" s="153"/>
      <c r="D150" s="26"/>
      <c r="E150" s="26"/>
      <c r="F150" s="69"/>
      <c r="G150" s="70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Y150" s="14"/>
      <c r="Z150" s="14"/>
    </row>
    <row r="151" spans="1:26" s="10" customFormat="1" ht="18.75" x14ac:dyDescent="0.25">
      <c r="A151" s="266" t="s">
        <v>394</v>
      </c>
      <c r="B151" s="266"/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Y151" s="14"/>
      <c r="Z151" s="14"/>
    </row>
    <row r="152" spans="1:26" s="10" customFormat="1" ht="34.5" customHeight="1" x14ac:dyDescent="0.25">
      <c r="A152" s="29" t="s">
        <v>69</v>
      </c>
      <c r="B152" s="223" t="s">
        <v>584</v>
      </c>
      <c r="C152" s="29" t="s">
        <v>17</v>
      </c>
      <c r="D152" s="29" t="s">
        <v>161</v>
      </c>
      <c r="E152" s="29" t="s">
        <v>143</v>
      </c>
      <c r="F152" s="29" t="s">
        <v>27</v>
      </c>
      <c r="G152" s="29" t="s">
        <v>19</v>
      </c>
      <c r="H152" s="29" t="s">
        <v>18</v>
      </c>
      <c r="I152" s="29" t="s">
        <v>66</v>
      </c>
      <c r="J152" s="29" t="s">
        <v>74</v>
      </c>
      <c r="K152" s="47" t="s">
        <v>301</v>
      </c>
      <c r="L152" s="47" t="s">
        <v>302</v>
      </c>
      <c r="M152" s="47" t="s">
        <v>303</v>
      </c>
      <c r="N152" s="47" t="s">
        <v>304</v>
      </c>
      <c r="O152" s="29" t="s">
        <v>305</v>
      </c>
      <c r="P152" s="29" t="s">
        <v>67</v>
      </c>
      <c r="Q152" s="29" t="s">
        <v>68</v>
      </c>
      <c r="R152" s="29" t="s">
        <v>20</v>
      </c>
      <c r="S152" s="29" t="s">
        <v>452</v>
      </c>
      <c r="T152" s="29" t="s">
        <v>72</v>
      </c>
      <c r="U152" s="29" t="s">
        <v>157</v>
      </c>
      <c r="V152" s="29" t="s">
        <v>155</v>
      </c>
      <c r="W152" s="29" t="s">
        <v>156</v>
      </c>
      <c r="Y152" s="14"/>
      <c r="Z152" s="14"/>
    </row>
    <row r="153" spans="1:26" s="12" customFormat="1" x14ac:dyDescent="0.25">
      <c r="A153" s="30">
        <v>76</v>
      </c>
      <c r="B153" s="45">
        <v>1586243609</v>
      </c>
      <c r="C153" s="16" t="s">
        <v>363</v>
      </c>
      <c r="D153" s="16" t="s">
        <v>661</v>
      </c>
      <c r="E153" s="20" t="s">
        <v>410</v>
      </c>
      <c r="F153" s="35">
        <v>15</v>
      </c>
      <c r="G153" s="100">
        <v>661.33</v>
      </c>
      <c r="H153" s="101">
        <f t="shared" ref="H153" si="67">F153*G153</f>
        <v>9919.9500000000007</v>
      </c>
      <c r="I153" s="60"/>
      <c r="J153" s="60"/>
      <c r="K153" s="72">
        <f>VLOOKUP($H$90,Tabisr,1)</f>
        <v>5081.01</v>
      </c>
      <c r="L153" s="68">
        <f>+H153-K153</f>
        <v>4838.9400000000005</v>
      </c>
      <c r="M153" s="73">
        <f>VLOOKUP($H$90,Tabisr,4)</f>
        <v>0.21360000000000001</v>
      </c>
      <c r="N153" s="72">
        <f>(H153-4244.01)*17.92%</f>
        <v>1017.1284480000003</v>
      </c>
      <c r="O153" s="72">
        <v>388.05</v>
      </c>
      <c r="P153" s="72">
        <v>1358.22</v>
      </c>
      <c r="Q153" s="72">
        <f>VLOOKUP($H$90,Tabsub,3)</f>
        <v>0</v>
      </c>
      <c r="R153" s="60"/>
      <c r="S153" s="60">
        <v>1231</v>
      </c>
      <c r="T153" s="60"/>
      <c r="U153" s="60"/>
      <c r="V153" s="68">
        <f>H153+I153+J153-P153+Q153-R153-S153-T153-U153</f>
        <v>7330.7300000000014</v>
      </c>
      <c r="W153" s="68">
        <f>V153-I153</f>
        <v>7330.7300000000014</v>
      </c>
      <c r="Y153" s="24">
        <f>+H153+I153+J153+Q153-P153-R153-S153-T153-U153</f>
        <v>7330.7300000000014</v>
      </c>
      <c r="Z153" s="24">
        <f>+V153-I153</f>
        <v>7330.7300000000014</v>
      </c>
    </row>
    <row r="154" spans="1:26" s="10" customFormat="1" ht="19.5" x14ac:dyDescent="0.25">
      <c r="A154" s="30">
        <v>77</v>
      </c>
      <c r="B154" s="45">
        <v>1585781714</v>
      </c>
      <c r="C154" s="16" t="s">
        <v>530</v>
      </c>
      <c r="D154" s="164" t="s">
        <v>531</v>
      </c>
      <c r="E154" s="20" t="s">
        <v>535</v>
      </c>
      <c r="F154" s="63">
        <v>15</v>
      </c>
      <c r="G154" s="87">
        <v>263.56</v>
      </c>
      <c r="H154" s="72">
        <f>F154*G154</f>
        <v>3953.4</v>
      </c>
      <c r="I154" s="72">
        <v>400</v>
      </c>
      <c r="J154" s="30"/>
      <c r="K154" s="72">
        <f>VLOOKUP($H$28,Tabisr,1)</f>
        <v>3651.01</v>
      </c>
      <c r="L154" s="68">
        <f>+H154-K154</f>
        <v>302.38999999999987</v>
      </c>
      <c r="M154" s="73">
        <f>VLOOKUP($H$28,Tabisr,4)</f>
        <v>0.16</v>
      </c>
      <c r="N154" s="72">
        <f>(H154-3651.01)*16%</f>
        <v>48.382399999999983</v>
      </c>
      <c r="O154" s="72">
        <v>293.25</v>
      </c>
      <c r="P154" s="72">
        <f>O154+N154</f>
        <v>341.63239999999996</v>
      </c>
      <c r="Q154" s="72"/>
      <c r="R154" s="72"/>
      <c r="S154" s="72">
        <v>1121</v>
      </c>
      <c r="T154" s="72"/>
      <c r="U154" s="72"/>
      <c r="V154" s="68">
        <f>H154+I154+J154-P154+Q154-R154-S154-T154-U154</f>
        <v>2890.7675999999997</v>
      </c>
      <c r="W154" s="68">
        <f>V154-I154</f>
        <v>2490.7675999999997</v>
      </c>
      <c r="Y154" s="14">
        <f>+H154+I154+J154+Q154-P154-R154-S154-T154-U154</f>
        <v>2890.7675999999997</v>
      </c>
      <c r="Z154" s="14">
        <f>+V154-I154</f>
        <v>2490.7675999999997</v>
      </c>
    </row>
    <row r="155" spans="1:26" s="10" customFormat="1" x14ac:dyDescent="0.25">
      <c r="A155" s="31">
        <v>78</v>
      </c>
      <c r="B155" s="45">
        <v>1585781721</v>
      </c>
      <c r="C155" s="151" t="s">
        <v>204</v>
      </c>
      <c r="D155" s="152" t="s">
        <v>166</v>
      </c>
      <c r="E155" s="185" t="s">
        <v>228</v>
      </c>
      <c r="F155" s="63">
        <v>15</v>
      </c>
      <c r="G155" s="95">
        <v>263.56</v>
      </c>
      <c r="H155" s="64">
        <f>F155*G155</f>
        <v>3953.4</v>
      </c>
      <c r="I155" s="64">
        <v>400</v>
      </c>
      <c r="J155" s="31"/>
      <c r="K155" s="64">
        <f>VLOOKUP($H$28,Tabisr,1)</f>
        <v>3651.01</v>
      </c>
      <c r="L155" s="66">
        <f>+H155-K155</f>
        <v>302.38999999999987</v>
      </c>
      <c r="M155" s="67">
        <f>VLOOKUP($H$28,Tabisr,4)</f>
        <v>0.16</v>
      </c>
      <c r="N155" s="64">
        <f>(H155-3651.01)*16%</f>
        <v>48.382399999999983</v>
      </c>
      <c r="O155" s="64">
        <v>293.25</v>
      </c>
      <c r="P155" s="64">
        <f>O155+N155</f>
        <v>341.63239999999996</v>
      </c>
      <c r="Q155" s="64"/>
      <c r="R155" s="64"/>
      <c r="S155" s="64"/>
      <c r="T155" s="64"/>
      <c r="U155" s="64"/>
      <c r="V155" s="68">
        <f>H155+I155+J155-P155+Q155-R155-S155-T155-U155</f>
        <v>4011.7675999999997</v>
      </c>
      <c r="W155" s="66">
        <f>V155-I155</f>
        <v>3611.7675999999997</v>
      </c>
      <c r="Y155" s="14">
        <f>+H155+I155+J155+Q155-P155-R155-S155-T155-U155</f>
        <v>4011.7675999999997</v>
      </c>
      <c r="Z155" s="14">
        <f>+V155-I155</f>
        <v>3611.7675999999997</v>
      </c>
    </row>
    <row r="156" spans="1:26" s="10" customFormat="1" x14ac:dyDescent="0.25">
      <c r="A156" s="32"/>
      <c r="B156" s="50"/>
      <c r="C156" s="159"/>
      <c r="D156" s="160"/>
      <c r="E156" s="213"/>
      <c r="F156" s="84"/>
      <c r="G156" s="84"/>
      <c r="H156" s="89">
        <f>+SUM(H153:H155)</f>
        <v>17826.75</v>
      </c>
      <c r="I156" s="89">
        <f>+SUM(I153:I155)</f>
        <v>800</v>
      </c>
      <c r="J156" s="89">
        <f t="shared" ref="J156:O156" si="68">+SUM(J153:J155)</f>
        <v>0</v>
      </c>
      <c r="K156" s="89">
        <f t="shared" si="68"/>
        <v>12383.03</v>
      </c>
      <c r="L156" s="89">
        <f t="shared" si="68"/>
        <v>5443.7199999999993</v>
      </c>
      <c r="M156" s="89">
        <f t="shared" si="68"/>
        <v>0.53360000000000007</v>
      </c>
      <c r="N156" s="89">
        <f t="shared" si="68"/>
        <v>1113.8932480000003</v>
      </c>
      <c r="O156" s="89">
        <f t="shared" si="68"/>
        <v>974.55</v>
      </c>
      <c r="P156" s="89">
        <f t="shared" ref="P156:W156" si="69">+SUM(P153:P155)</f>
        <v>2041.4848</v>
      </c>
      <c r="Q156" s="89">
        <f t="shared" si="69"/>
        <v>0</v>
      </c>
      <c r="R156" s="89">
        <f t="shared" si="69"/>
        <v>0</v>
      </c>
      <c r="S156" s="89">
        <f t="shared" si="69"/>
        <v>2352</v>
      </c>
      <c r="T156" s="89">
        <f t="shared" si="69"/>
        <v>0</v>
      </c>
      <c r="U156" s="89">
        <f t="shared" si="69"/>
        <v>0</v>
      </c>
      <c r="V156" s="89">
        <f t="shared" si="69"/>
        <v>14233.2652</v>
      </c>
      <c r="W156" s="89">
        <f t="shared" si="69"/>
        <v>13433.2652</v>
      </c>
      <c r="Y156" s="15">
        <f>+SUM(Y153:Y155)</f>
        <v>14233.2652</v>
      </c>
      <c r="Z156" s="15">
        <f>+SUM(Z153:Z155)</f>
        <v>13433.2652</v>
      </c>
    </row>
    <row r="157" spans="1:26" s="10" customFormat="1" x14ac:dyDescent="0.25">
      <c r="A157" s="32"/>
      <c r="B157" s="50"/>
      <c r="C157" s="159"/>
      <c r="D157" s="160"/>
      <c r="E157" s="213"/>
      <c r="F157" s="84"/>
      <c r="G157" s="84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Y157" s="14"/>
      <c r="Z157" s="14"/>
    </row>
    <row r="158" spans="1:26" s="10" customFormat="1" ht="18.75" x14ac:dyDescent="0.25">
      <c r="A158" s="266" t="s">
        <v>395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Y158" s="14"/>
      <c r="Z158" s="14"/>
    </row>
    <row r="159" spans="1:26" s="10" customFormat="1" ht="31.5" customHeight="1" x14ac:dyDescent="0.25">
      <c r="A159" s="29" t="s">
        <v>69</v>
      </c>
      <c r="B159" s="223" t="s">
        <v>584</v>
      </c>
      <c r="C159" s="29" t="s">
        <v>17</v>
      </c>
      <c r="D159" s="29" t="s">
        <v>161</v>
      </c>
      <c r="E159" s="29" t="s">
        <v>143</v>
      </c>
      <c r="F159" s="29" t="s">
        <v>27</v>
      </c>
      <c r="G159" s="29" t="s">
        <v>19</v>
      </c>
      <c r="H159" s="29" t="s">
        <v>18</v>
      </c>
      <c r="I159" s="29" t="s">
        <v>66</v>
      </c>
      <c r="J159" s="29" t="s">
        <v>74</v>
      </c>
      <c r="K159" s="47" t="s">
        <v>301</v>
      </c>
      <c r="L159" s="47" t="s">
        <v>302</v>
      </c>
      <c r="M159" s="47" t="s">
        <v>303</v>
      </c>
      <c r="N159" s="47" t="s">
        <v>304</v>
      </c>
      <c r="O159" s="29" t="s">
        <v>305</v>
      </c>
      <c r="P159" s="29" t="s">
        <v>67</v>
      </c>
      <c r="Q159" s="29" t="s">
        <v>68</v>
      </c>
      <c r="R159" s="29" t="s">
        <v>20</v>
      </c>
      <c r="S159" s="29" t="s">
        <v>452</v>
      </c>
      <c r="T159" s="29" t="s">
        <v>72</v>
      </c>
      <c r="U159" s="29" t="s">
        <v>157</v>
      </c>
      <c r="V159" s="29" t="s">
        <v>155</v>
      </c>
      <c r="W159" s="29" t="s">
        <v>156</v>
      </c>
      <c r="Y159" s="14"/>
      <c r="Z159" s="14"/>
    </row>
    <row r="160" spans="1:26" s="10" customFormat="1" x14ac:dyDescent="0.25">
      <c r="A160" s="30">
        <v>79</v>
      </c>
      <c r="B160" s="45">
        <v>1585781739</v>
      </c>
      <c r="C160" s="16" t="s">
        <v>26</v>
      </c>
      <c r="D160" s="16" t="s">
        <v>184</v>
      </c>
      <c r="E160" s="18" t="s">
        <v>94</v>
      </c>
      <c r="F160" s="63">
        <v>15</v>
      </c>
      <c r="G160" s="72">
        <v>414.83</v>
      </c>
      <c r="H160" s="72">
        <f>F160*G160</f>
        <v>6222.45</v>
      </c>
      <c r="I160" s="72">
        <v>400</v>
      </c>
      <c r="J160" s="30"/>
      <c r="K160" s="72">
        <f>VLOOKUP($H$209,Tabisr,1)</f>
        <v>5081.01</v>
      </c>
      <c r="L160" s="68">
        <f>+H160-K160</f>
        <v>1141.4399999999996</v>
      </c>
      <c r="M160" s="73">
        <f>VLOOKUP($H$209,Tabisr,4)</f>
        <v>0.21360000000000001</v>
      </c>
      <c r="N160" s="72">
        <f>+L160*M160</f>
        <v>243.81158399999993</v>
      </c>
      <c r="O160" s="72">
        <f>VLOOKUP($H$209,Tabisr,3)</f>
        <v>538.20000000000005</v>
      </c>
      <c r="P160" s="60">
        <f>+N160+O160</f>
        <v>782.01158399999997</v>
      </c>
      <c r="Q160" s="72"/>
      <c r="R160" s="72"/>
      <c r="S160" s="72"/>
      <c r="T160" s="72"/>
      <c r="U160" s="72"/>
      <c r="V160" s="68">
        <f>H160+I160+J160-P160+Q160-R160-S160-T160-U160</f>
        <v>5840.438416</v>
      </c>
      <c r="W160" s="68">
        <f>V160-I160</f>
        <v>5440.438416</v>
      </c>
      <c r="Y160" s="14">
        <f>+H160+I160+J160+Q160-P160-R160-S160-T160-U160</f>
        <v>5840.438416</v>
      </c>
      <c r="Z160" s="14">
        <f>+V160-I160</f>
        <v>5440.438416</v>
      </c>
    </row>
    <row r="161" spans="1:26" s="10" customFormat="1" x14ac:dyDescent="0.25">
      <c r="A161" s="31">
        <v>80</v>
      </c>
      <c r="B161" s="45">
        <v>1585781747</v>
      </c>
      <c r="C161" s="16" t="s">
        <v>3</v>
      </c>
      <c r="D161" s="152" t="s">
        <v>163</v>
      </c>
      <c r="E161" s="152" t="s">
        <v>99</v>
      </c>
      <c r="F161" s="86">
        <v>15</v>
      </c>
      <c r="G161" s="64">
        <v>263.56</v>
      </c>
      <c r="H161" s="64">
        <f>F161*G161</f>
        <v>3953.4</v>
      </c>
      <c r="I161" s="64">
        <v>400</v>
      </c>
      <c r="J161" s="66">
        <f>G161*1</f>
        <v>263.56</v>
      </c>
      <c r="K161" s="64">
        <f>VLOOKUP($H$161,Tabisr,1)</f>
        <v>3651.01</v>
      </c>
      <c r="L161" s="66">
        <f>+H161-K161</f>
        <v>302.38999999999987</v>
      </c>
      <c r="M161" s="67">
        <f>VLOOKUP($H$161,Tabisr,4)</f>
        <v>0.16</v>
      </c>
      <c r="N161" s="64">
        <f>(H161-3651.01)*16%</f>
        <v>48.382399999999983</v>
      </c>
      <c r="O161" s="64">
        <v>293.25</v>
      </c>
      <c r="P161" s="72">
        <f>O161+N161</f>
        <v>341.63239999999996</v>
      </c>
      <c r="Q161" s="64"/>
      <c r="R161" s="31"/>
      <c r="S161" s="31"/>
      <c r="T161" s="31"/>
      <c r="U161" s="98"/>
      <c r="V161" s="68">
        <f>H161+I161+J161-P161+Q161-R161-S161-T161-U161</f>
        <v>4275.3276000000005</v>
      </c>
      <c r="W161" s="66">
        <f>V161-I161</f>
        <v>3875.3276000000005</v>
      </c>
      <c r="Y161" s="14">
        <f>+H161+I161+J161+Q161-P161-R161-S161-T161-U161</f>
        <v>4275.3276000000005</v>
      </c>
      <c r="Z161" s="14">
        <f>+V161-I161</f>
        <v>3875.3276000000005</v>
      </c>
    </row>
    <row r="162" spans="1:26" s="11" customFormat="1" x14ac:dyDescent="0.25">
      <c r="A162" s="36">
        <v>81</v>
      </c>
      <c r="B162" s="51"/>
      <c r="C162" s="155" t="s">
        <v>458</v>
      </c>
      <c r="D162" s="22" t="s">
        <v>163</v>
      </c>
      <c r="E162" s="186"/>
      <c r="F162" s="78"/>
      <c r="G162" s="79"/>
      <c r="H162" s="79"/>
      <c r="I162" s="80"/>
      <c r="J162" s="80"/>
      <c r="K162" s="79"/>
      <c r="L162" s="81"/>
      <c r="M162" s="82"/>
      <c r="N162" s="79"/>
      <c r="O162" s="79"/>
      <c r="P162" s="79"/>
      <c r="Q162" s="79"/>
      <c r="R162" s="80"/>
      <c r="S162" s="80"/>
      <c r="T162" s="80"/>
      <c r="U162" s="80"/>
      <c r="V162" s="81"/>
      <c r="W162" s="81"/>
      <c r="Y162" s="14">
        <f>+H162+I162+J162+Q162-P162-R162-S162-T162-U162</f>
        <v>0</v>
      </c>
      <c r="Z162" s="14">
        <f>+V162-I162</f>
        <v>0</v>
      </c>
    </row>
    <row r="163" spans="1:26" s="10" customFormat="1" x14ac:dyDescent="0.25">
      <c r="A163" s="32"/>
      <c r="B163" s="50"/>
      <c r="C163" s="159"/>
      <c r="D163" s="160"/>
      <c r="E163" s="213"/>
      <c r="F163" s="84"/>
      <c r="G163" s="84"/>
      <c r="H163" s="89">
        <f>+SUM(H160:H162)</f>
        <v>10175.85</v>
      </c>
      <c r="I163" s="89">
        <f>+SUM(I160:I162)</f>
        <v>800</v>
      </c>
      <c r="J163" s="89">
        <f>+SUM(J160:J162)</f>
        <v>263.56</v>
      </c>
      <c r="K163" s="89">
        <f t="shared" ref="K163:W163" si="70">+SUM(K160:K162)</f>
        <v>8732.02</v>
      </c>
      <c r="L163" s="89">
        <f t="shared" si="70"/>
        <v>1443.8299999999995</v>
      </c>
      <c r="M163" s="89">
        <f t="shared" si="70"/>
        <v>0.37360000000000004</v>
      </c>
      <c r="N163" s="89">
        <f t="shared" si="70"/>
        <v>292.19398399999989</v>
      </c>
      <c r="O163" s="89">
        <f t="shared" si="70"/>
        <v>831.45</v>
      </c>
      <c r="P163" s="89">
        <f>+SUM(P160:P162)</f>
        <v>1123.6439839999998</v>
      </c>
      <c r="Q163" s="89">
        <f>+SUM(Q160:Q162)</f>
        <v>0</v>
      </c>
      <c r="R163" s="89">
        <f>+SUM(R160:R162)</f>
        <v>0</v>
      </c>
      <c r="S163" s="89">
        <f>+SUM(S160:S162)</f>
        <v>0</v>
      </c>
      <c r="T163" s="89">
        <f>+SUM(T160:T162)</f>
        <v>0</v>
      </c>
      <c r="U163" s="89">
        <f t="shared" si="70"/>
        <v>0</v>
      </c>
      <c r="V163" s="89">
        <f t="shared" si="70"/>
        <v>10115.766016000001</v>
      </c>
      <c r="W163" s="89">
        <f t="shared" si="70"/>
        <v>9315.7660160000014</v>
      </c>
      <c r="Y163" s="15">
        <f>+SUM(Y160:Y162)</f>
        <v>10115.766016000001</v>
      </c>
      <c r="Z163" s="15">
        <f>+SUM(Z160:Z162)</f>
        <v>9315.7660160000014</v>
      </c>
    </row>
    <row r="164" spans="1:26" s="10" customFormat="1" x14ac:dyDescent="0.25">
      <c r="A164" s="32"/>
      <c r="B164" s="50"/>
      <c r="C164" s="159"/>
      <c r="D164" s="160"/>
      <c r="E164" s="213"/>
      <c r="F164" s="84"/>
      <c r="G164" s="84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Y164" s="14"/>
      <c r="Z164" s="14"/>
    </row>
    <row r="165" spans="1:26" s="10" customFormat="1" ht="18.75" x14ac:dyDescent="0.25">
      <c r="A165" s="266" t="s">
        <v>396</v>
      </c>
      <c r="B165" s="266"/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Y165" s="14"/>
      <c r="Z165" s="14"/>
    </row>
    <row r="166" spans="1:26" s="10" customFormat="1" ht="36.75" customHeight="1" x14ac:dyDescent="0.25">
      <c r="A166" s="29" t="s">
        <v>69</v>
      </c>
      <c r="B166" s="223" t="s">
        <v>584</v>
      </c>
      <c r="C166" s="29" t="s">
        <v>17</v>
      </c>
      <c r="D166" s="29" t="s">
        <v>161</v>
      </c>
      <c r="E166" s="29" t="s">
        <v>143</v>
      </c>
      <c r="F166" s="29" t="s">
        <v>27</v>
      </c>
      <c r="G166" s="29" t="s">
        <v>19</v>
      </c>
      <c r="H166" s="29" t="s">
        <v>18</v>
      </c>
      <c r="I166" s="29" t="s">
        <v>66</v>
      </c>
      <c r="J166" s="29" t="s">
        <v>74</v>
      </c>
      <c r="K166" s="47" t="s">
        <v>301</v>
      </c>
      <c r="L166" s="47" t="s">
        <v>302</v>
      </c>
      <c r="M166" s="47" t="s">
        <v>303</v>
      </c>
      <c r="N166" s="47" t="s">
        <v>304</v>
      </c>
      <c r="O166" s="29" t="s">
        <v>305</v>
      </c>
      <c r="P166" s="29" t="s">
        <v>67</v>
      </c>
      <c r="Q166" s="29" t="s">
        <v>68</v>
      </c>
      <c r="R166" s="29" t="s">
        <v>20</v>
      </c>
      <c r="S166" s="29" t="s">
        <v>452</v>
      </c>
      <c r="T166" s="29" t="s">
        <v>72</v>
      </c>
      <c r="U166" s="29" t="s">
        <v>157</v>
      </c>
      <c r="V166" s="29" t="s">
        <v>155</v>
      </c>
      <c r="W166" s="29" t="s">
        <v>156</v>
      </c>
      <c r="Y166" s="14"/>
      <c r="Z166" s="14"/>
    </row>
    <row r="167" spans="1:26" s="10" customFormat="1" ht="22.5" x14ac:dyDescent="0.25">
      <c r="A167" s="30">
        <v>82</v>
      </c>
      <c r="B167" s="45">
        <v>1585781755</v>
      </c>
      <c r="C167" s="16" t="s">
        <v>193</v>
      </c>
      <c r="D167" s="16" t="s">
        <v>364</v>
      </c>
      <c r="E167" s="20" t="s">
        <v>222</v>
      </c>
      <c r="F167" s="63">
        <v>15</v>
      </c>
      <c r="G167" s="72">
        <v>661.33</v>
      </c>
      <c r="H167" s="72">
        <f t="shared" ref="H167:H175" si="71">F167*G167</f>
        <v>9919.9500000000007</v>
      </c>
      <c r="I167" s="72"/>
      <c r="J167" s="72"/>
      <c r="K167" s="72">
        <f>VLOOKUP($H$180,Tabisr,1)</f>
        <v>5081.01</v>
      </c>
      <c r="L167" s="68">
        <f t="shared" ref="L167:L175" si="72">+H167-K167</f>
        <v>4838.9400000000005</v>
      </c>
      <c r="M167" s="73">
        <f>VLOOKUP($H$180,Tabisr,4)</f>
        <v>0.21360000000000001</v>
      </c>
      <c r="N167" s="72">
        <f>(H167-5081.01)*21.36%</f>
        <v>1033.5975840000001</v>
      </c>
      <c r="O167" s="72">
        <v>538.20000000000005</v>
      </c>
      <c r="P167" s="72">
        <f t="shared" ref="P167:P175" si="73">N167+O167</f>
        <v>1571.7975840000001</v>
      </c>
      <c r="Q167" s="72">
        <f>VLOOKUP($H$180,Tabsub,3)</f>
        <v>0</v>
      </c>
      <c r="R167" s="72"/>
      <c r="S167" s="72"/>
      <c r="T167" s="72"/>
      <c r="U167" s="72"/>
      <c r="V167" s="68">
        <f t="shared" ref="V167:V175" si="74">H167+I167+J167-P167+Q167-R167-S167-T167-U167</f>
        <v>8348.1524160000008</v>
      </c>
      <c r="W167" s="68">
        <f t="shared" ref="W167:W175" si="75">V167-I167</f>
        <v>8348.1524160000008</v>
      </c>
      <c r="Y167" s="14">
        <f t="shared" ref="Y167:Y175" si="76">+H167+I167+J167+Q167-P167-R167-S167-T167-U167</f>
        <v>8348.1524160000008</v>
      </c>
      <c r="Z167" s="14">
        <f t="shared" ref="Z167:Z175" si="77">+V167-I167</f>
        <v>8348.1524160000008</v>
      </c>
    </row>
    <row r="168" spans="1:26" s="10" customFormat="1" x14ac:dyDescent="0.25">
      <c r="A168" s="241"/>
      <c r="B168" s="242"/>
      <c r="C168" s="243" t="s">
        <v>669</v>
      </c>
      <c r="D168" s="243" t="s">
        <v>163</v>
      </c>
      <c r="E168" s="244"/>
      <c r="F168" s="245"/>
      <c r="G168" s="246"/>
      <c r="H168" s="247"/>
      <c r="I168" s="247"/>
      <c r="J168" s="247"/>
      <c r="K168" s="247"/>
      <c r="L168" s="247"/>
      <c r="M168" s="247"/>
      <c r="N168" s="247"/>
      <c r="O168" s="247"/>
      <c r="P168" s="248"/>
      <c r="Q168" s="247"/>
      <c r="R168" s="247"/>
      <c r="S168" s="248"/>
      <c r="T168" s="248"/>
      <c r="U168" s="248"/>
      <c r="V168" s="248"/>
      <c r="W168" s="248"/>
      <c r="Y168" s="14">
        <f>+H168+I168+J168+Q168-P168-R168-S168-T168-U168</f>
        <v>0</v>
      </c>
      <c r="Z168" s="14">
        <f>+V168-I168</f>
        <v>0</v>
      </c>
    </row>
    <row r="169" spans="1:26" s="10" customFormat="1" ht="22.5" x14ac:dyDescent="0.25">
      <c r="A169" s="30">
        <v>84</v>
      </c>
      <c r="B169" s="45">
        <v>1586243554</v>
      </c>
      <c r="C169" s="16" t="s">
        <v>417</v>
      </c>
      <c r="D169" s="16" t="s">
        <v>365</v>
      </c>
      <c r="E169" s="18" t="s">
        <v>129</v>
      </c>
      <c r="F169" s="63">
        <v>15</v>
      </c>
      <c r="G169" s="72">
        <v>312.26</v>
      </c>
      <c r="H169" s="72">
        <f t="shared" si="71"/>
        <v>4683.8999999999996</v>
      </c>
      <c r="I169" s="60">
        <v>400</v>
      </c>
      <c r="J169" s="60"/>
      <c r="K169" s="72">
        <f>VLOOKUP($H$90,Tabisr,1)</f>
        <v>5081.01</v>
      </c>
      <c r="L169" s="68">
        <f t="shared" si="72"/>
        <v>-397.11000000000058</v>
      </c>
      <c r="M169" s="73">
        <f>VLOOKUP($H$90,Tabisr,4)</f>
        <v>0.21360000000000001</v>
      </c>
      <c r="N169" s="72">
        <f>(H169-4244.01)*17.92%</f>
        <v>78.828287999999901</v>
      </c>
      <c r="O169" s="72">
        <v>388.05</v>
      </c>
      <c r="P169" s="72">
        <f t="shared" si="73"/>
        <v>466.87828799999988</v>
      </c>
      <c r="Q169" s="72">
        <f>VLOOKUP($H$90,Tabsub,3)</f>
        <v>0</v>
      </c>
      <c r="R169" s="60"/>
      <c r="S169" s="60">
        <v>568</v>
      </c>
      <c r="T169" s="60"/>
      <c r="U169" s="60"/>
      <c r="V169" s="68">
        <f t="shared" si="74"/>
        <v>4049.0217119999998</v>
      </c>
      <c r="W169" s="68">
        <f t="shared" si="75"/>
        <v>3649.0217119999998</v>
      </c>
      <c r="Y169" s="14">
        <f t="shared" si="76"/>
        <v>4049.0217119999998</v>
      </c>
      <c r="Z169" s="14">
        <f t="shared" si="77"/>
        <v>3649.0217119999998</v>
      </c>
    </row>
    <row r="170" spans="1:26" s="10" customFormat="1" ht="22.5" x14ac:dyDescent="0.25">
      <c r="A170" s="30">
        <v>85</v>
      </c>
      <c r="B170" s="45">
        <v>1585781763</v>
      </c>
      <c r="C170" s="16" t="s">
        <v>461</v>
      </c>
      <c r="D170" s="16" t="s">
        <v>651</v>
      </c>
      <c r="E170" s="18" t="s">
        <v>462</v>
      </c>
      <c r="F170" s="63">
        <v>15</v>
      </c>
      <c r="G170" s="72">
        <v>312.26</v>
      </c>
      <c r="H170" s="72">
        <f t="shared" si="71"/>
        <v>4683.8999999999996</v>
      </c>
      <c r="I170" s="72">
        <v>400</v>
      </c>
      <c r="J170" s="72"/>
      <c r="K170" s="72">
        <f>VLOOKUP($H$90,Tabisr,1)</f>
        <v>5081.01</v>
      </c>
      <c r="L170" s="68">
        <f t="shared" si="72"/>
        <v>-397.11000000000058</v>
      </c>
      <c r="M170" s="73">
        <f>VLOOKUP($H$90,Tabisr,4)</f>
        <v>0.21360000000000001</v>
      </c>
      <c r="N170" s="72">
        <f>(H170-4244.01)*17.92%</f>
        <v>78.828287999999901</v>
      </c>
      <c r="O170" s="72">
        <v>388.05</v>
      </c>
      <c r="P170" s="72">
        <f t="shared" si="73"/>
        <v>466.87828799999988</v>
      </c>
      <c r="Q170" s="72">
        <f>VLOOKUP($H$171,Tabsub,3)</f>
        <v>0</v>
      </c>
      <c r="R170" s="72"/>
      <c r="S170" s="72"/>
      <c r="T170" s="72"/>
      <c r="U170" s="72"/>
      <c r="V170" s="68">
        <f t="shared" si="74"/>
        <v>4617.0217119999998</v>
      </c>
      <c r="W170" s="68">
        <f t="shared" si="75"/>
        <v>4217.0217119999998</v>
      </c>
      <c r="Y170" s="14">
        <f t="shared" si="76"/>
        <v>4617.0217119999998</v>
      </c>
      <c r="Z170" s="14">
        <f t="shared" si="77"/>
        <v>4217.0217119999998</v>
      </c>
    </row>
    <row r="171" spans="1:26" s="10" customFormat="1" x14ac:dyDescent="0.25">
      <c r="A171" s="30">
        <v>86</v>
      </c>
      <c r="B171" s="45">
        <v>448640955</v>
      </c>
      <c r="C171" s="16" t="s">
        <v>50</v>
      </c>
      <c r="D171" s="151" t="s">
        <v>262</v>
      </c>
      <c r="E171" s="152" t="s">
        <v>130</v>
      </c>
      <c r="F171" s="63">
        <v>15</v>
      </c>
      <c r="G171" s="64">
        <v>263.56</v>
      </c>
      <c r="H171" s="64">
        <f t="shared" si="71"/>
        <v>3953.4</v>
      </c>
      <c r="I171" s="64">
        <v>400</v>
      </c>
      <c r="J171" s="64"/>
      <c r="K171" s="64">
        <f>VLOOKUP($H$171,Tabisr,1)</f>
        <v>3651.01</v>
      </c>
      <c r="L171" s="66">
        <f t="shared" si="72"/>
        <v>302.38999999999987</v>
      </c>
      <c r="M171" s="67">
        <f>VLOOKUP($H$171,Tabisr,4)</f>
        <v>0.16</v>
      </c>
      <c r="N171" s="64">
        <f>(H171-3651.01)*16%</f>
        <v>48.382399999999983</v>
      </c>
      <c r="O171" s="64">
        <v>293.25</v>
      </c>
      <c r="P171" s="64">
        <f t="shared" si="73"/>
        <v>341.63239999999996</v>
      </c>
      <c r="Q171" s="64">
        <f>VLOOKUP($H$171,Tabsub,3)</f>
        <v>0</v>
      </c>
      <c r="R171" s="64"/>
      <c r="S171" s="64"/>
      <c r="T171" s="64"/>
      <c r="U171" s="64"/>
      <c r="V171" s="68">
        <f t="shared" si="74"/>
        <v>4011.7675999999997</v>
      </c>
      <c r="W171" s="66">
        <f t="shared" si="75"/>
        <v>3611.7675999999997</v>
      </c>
      <c r="Y171" s="14">
        <f t="shared" si="76"/>
        <v>4011.7675999999997</v>
      </c>
      <c r="Z171" s="14">
        <f t="shared" si="77"/>
        <v>3611.7675999999997</v>
      </c>
    </row>
    <row r="172" spans="1:26" s="10" customFormat="1" x14ac:dyDescent="0.25">
      <c r="A172" s="30">
        <v>87</v>
      </c>
      <c r="B172" s="45">
        <v>1585781772</v>
      </c>
      <c r="C172" s="16" t="s">
        <v>11</v>
      </c>
      <c r="D172" s="151" t="s">
        <v>178</v>
      </c>
      <c r="E172" s="152" t="s">
        <v>131</v>
      </c>
      <c r="F172" s="63">
        <v>15</v>
      </c>
      <c r="G172" s="64">
        <v>263.56</v>
      </c>
      <c r="H172" s="64">
        <f t="shared" si="71"/>
        <v>3953.4</v>
      </c>
      <c r="I172" s="64">
        <v>400</v>
      </c>
      <c r="J172" s="64"/>
      <c r="K172" s="64">
        <f>VLOOKUP($H$172,Tabisr,1)</f>
        <v>3651.01</v>
      </c>
      <c r="L172" s="66">
        <f t="shared" si="72"/>
        <v>302.38999999999987</v>
      </c>
      <c r="M172" s="67">
        <f>VLOOKUP($H$172,Tabisr,4)</f>
        <v>0.16</v>
      </c>
      <c r="N172" s="64">
        <f>(H172-3651.01)*16%</f>
        <v>48.382399999999983</v>
      </c>
      <c r="O172" s="64">
        <v>293.25</v>
      </c>
      <c r="P172" s="64">
        <f t="shared" si="73"/>
        <v>341.63239999999996</v>
      </c>
      <c r="Q172" s="64">
        <f>VLOOKUP($H$172,Tabsub,3)</f>
        <v>0</v>
      </c>
      <c r="R172" s="64"/>
      <c r="S172" s="64"/>
      <c r="T172" s="64"/>
      <c r="U172" s="64"/>
      <c r="V172" s="68">
        <f t="shared" si="74"/>
        <v>4011.7675999999997</v>
      </c>
      <c r="W172" s="66">
        <f t="shared" si="75"/>
        <v>3611.7675999999997</v>
      </c>
      <c r="Y172" s="14">
        <f t="shared" si="76"/>
        <v>4011.7675999999997</v>
      </c>
      <c r="Z172" s="14">
        <f t="shared" si="77"/>
        <v>3611.7675999999997</v>
      </c>
    </row>
    <row r="173" spans="1:26" s="10" customFormat="1" x14ac:dyDescent="0.25">
      <c r="A173" s="30">
        <v>88</v>
      </c>
      <c r="B173" s="45">
        <v>1585781780</v>
      </c>
      <c r="C173" s="16" t="s">
        <v>219</v>
      </c>
      <c r="D173" s="151" t="s">
        <v>449</v>
      </c>
      <c r="E173" s="152" t="s">
        <v>240</v>
      </c>
      <c r="F173" s="63">
        <v>15</v>
      </c>
      <c r="G173" s="64">
        <v>263.56</v>
      </c>
      <c r="H173" s="64">
        <f t="shared" si="71"/>
        <v>3953.4</v>
      </c>
      <c r="I173" s="64">
        <v>400</v>
      </c>
      <c r="J173" s="64"/>
      <c r="K173" s="64">
        <f>VLOOKUP($H$173,Tabisr,1)</f>
        <v>3651.01</v>
      </c>
      <c r="L173" s="66">
        <f t="shared" si="72"/>
        <v>302.38999999999987</v>
      </c>
      <c r="M173" s="67">
        <f>VLOOKUP($H$173,Tabisr,4)</f>
        <v>0.16</v>
      </c>
      <c r="N173" s="64">
        <f>(H173-3651.01)*16%</f>
        <v>48.382399999999983</v>
      </c>
      <c r="O173" s="64">
        <v>293.25</v>
      </c>
      <c r="P173" s="64">
        <f t="shared" si="73"/>
        <v>341.63239999999996</v>
      </c>
      <c r="Q173" s="64">
        <f>VLOOKUP($H$173,Tabsub,3)</f>
        <v>0</v>
      </c>
      <c r="R173" s="64"/>
      <c r="S173" s="64"/>
      <c r="T173" s="64"/>
      <c r="U173" s="64"/>
      <c r="V173" s="68">
        <f t="shared" si="74"/>
        <v>4011.7675999999997</v>
      </c>
      <c r="W173" s="66">
        <f t="shared" si="75"/>
        <v>3611.7675999999997</v>
      </c>
      <c r="Y173" s="14">
        <f t="shared" si="76"/>
        <v>4011.7675999999997</v>
      </c>
      <c r="Z173" s="14">
        <f t="shared" si="77"/>
        <v>3611.7675999999997</v>
      </c>
    </row>
    <row r="174" spans="1:26" s="10" customFormat="1" x14ac:dyDescent="0.25">
      <c r="A174" s="30">
        <v>89</v>
      </c>
      <c r="B174" s="45">
        <v>1585781798</v>
      </c>
      <c r="C174" s="16" t="s">
        <v>73</v>
      </c>
      <c r="D174" s="152" t="s">
        <v>177</v>
      </c>
      <c r="E174" s="152" t="s">
        <v>142</v>
      </c>
      <c r="F174" s="63">
        <v>15</v>
      </c>
      <c r="G174" s="64">
        <v>312.26</v>
      </c>
      <c r="H174" s="64">
        <f t="shared" si="71"/>
        <v>4683.8999999999996</v>
      </c>
      <c r="I174" s="64">
        <v>400</v>
      </c>
      <c r="J174" s="64"/>
      <c r="K174" s="64">
        <f>VLOOKUP($H$90,Tabisr,1)</f>
        <v>5081.01</v>
      </c>
      <c r="L174" s="66">
        <f t="shared" si="72"/>
        <v>-397.11000000000058</v>
      </c>
      <c r="M174" s="67">
        <f>VLOOKUP($H$90,Tabisr,4)</f>
        <v>0.21360000000000001</v>
      </c>
      <c r="N174" s="64">
        <f>(H174-4244.01)*17.92%</f>
        <v>78.828287999999901</v>
      </c>
      <c r="O174" s="72">
        <v>388.05</v>
      </c>
      <c r="P174" s="64">
        <f t="shared" si="73"/>
        <v>466.87828799999988</v>
      </c>
      <c r="Q174" s="64">
        <f>VLOOKUP($H$174,Tabsub,3)</f>
        <v>0</v>
      </c>
      <c r="R174" s="64"/>
      <c r="S174" s="64"/>
      <c r="T174" s="64"/>
      <c r="U174" s="64"/>
      <c r="V174" s="68">
        <f t="shared" si="74"/>
        <v>4617.0217119999998</v>
      </c>
      <c r="W174" s="66">
        <f t="shared" si="75"/>
        <v>4217.0217119999998</v>
      </c>
      <c r="Y174" s="14">
        <f t="shared" si="76"/>
        <v>4617.0217119999998</v>
      </c>
      <c r="Z174" s="14">
        <f t="shared" si="77"/>
        <v>4217.0217119999998</v>
      </c>
    </row>
    <row r="175" spans="1:26" s="10" customFormat="1" x14ac:dyDescent="0.25">
      <c r="A175" s="30">
        <v>90</v>
      </c>
      <c r="B175" s="45">
        <v>1589054343</v>
      </c>
      <c r="C175" s="16" t="s">
        <v>51</v>
      </c>
      <c r="D175" s="18" t="s">
        <v>176</v>
      </c>
      <c r="E175" s="18" t="s">
        <v>132</v>
      </c>
      <c r="F175" s="63">
        <v>15</v>
      </c>
      <c r="G175" s="72">
        <v>214.1</v>
      </c>
      <c r="H175" s="72">
        <f t="shared" si="71"/>
        <v>3211.5</v>
      </c>
      <c r="I175" s="72">
        <v>400</v>
      </c>
      <c r="J175" s="72"/>
      <c r="K175" s="72">
        <f>VLOOKUP($H$175,Tabisr,1)</f>
        <v>2077.5100000000002</v>
      </c>
      <c r="L175" s="68">
        <f t="shared" si="72"/>
        <v>1133.9899999999998</v>
      </c>
      <c r="M175" s="73">
        <f>VLOOKUP($H$175,Tabisr,4)</f>
        <v>0.10879999999999999</v>
      </c>
      <c r="N175" s="72">
        <f>(H175-2077.51)*10.88%</f>
        <v>123.37811199999999</v>
      </c>
      <c r="O175" s="72">
        <v>121.95</v>
      </c>
      <c r="P175" s="72">
        <f t="shared" si="73"/>
        <v>245.32811199999998</v>
      </c>
      <c r="Q175" s="72">
        <f>VLOOKUP($H$175,Tabsub,3)</f>
        <v>125.1</v>
      </c>
      <c r="R175" s="72"/>
      <c r="S175" s="72"/>
      <c r="T175" s="72"/>
      <c r="U175" s="72"/>
      <c r="V175" s="68">
        <f t="shared" si="74"/>
        <v>3491.2718879999998</v>
      </c>
      <c r="W175" s="68">
        <f t="shared" si="75"/>
        <v>3091.2718879999998</v>
      </c>
      <c r="Y175" s="14">
        <f t="shared" si="76"/>
        <v>3491.2718879999998</v>
      </c>
      <c r="Z175" s="14">
        <f t="shared" si="77"/>
        <v>3091.2718879999998</v>
      </c>
    </row>
    <row r="176" spans="1:26" s="10" customFormat="1" x14ac:dyDescent="0.25">
      <c r="A176" s="32"/>
      <c r="B176" s="50"/>
      <c r="C176" s="159"/>
      <c r="D176" s="160"/>
      <c r="E176" s="213"/>
      <c r="F176" s="84"/>
      <c r="G176" s="84"/>
      <c r="H176" s="85">
        <f>+SUM(H167:H175)</f>
        <v>39043.350000000006</v>
      </c>
      <c r="I176" s="85">
        <f>+SUM(I167:I175)</f>
        <v>2800</v>
      </c>
      <c r="J176" s="85">
        <f t="shared" ref="J176:W176" si="78">+SUM(J167:J175)</f>
        <v>0</v>
      </c>
      <c r="K176" s="85">
        <f t="shared" si="78"/>
        <v>33354.580000000009</v>
      </c>
      <c r="L176" s="85">
        <f t="shared" si="78"/>
        <v>5688.7699999999968</v>
      </c>
      <c r="M176" s="85">
        <f t="shared" si="78"/>
        <v>1.4432</v>
      </c>
      <c r="N176" s="85">
        <f t="shared" si="78"/>
        <v>1538.6077599999999</v>
      </c>
      <c r="O176" s="85">
        <f t="shared" si="78"/>
        <v>2704.05</v>
      </c>
      <c r="P176" s="85">
        <f t="shared" si="78"/>
        <v>4242.6577599999991</v>
      </c>
      <c r="Q176" s="85">
        <f t="shared" si="78"/>
        <v>125.1</v>
      </c>
      <c r="R176" s="85">
        <f t="shared" si="78"/>
        <v>0</v>
      </c>
      <c r="S176" s="85">
        <f t="shared" si="78"/>
        <v>568</v>
      </c>
      <c r="T176" s="85">
        <f t="shared" si="78"/>
        <v>0</v>
      </c>
      <c r="U176" s="85">
        <f t="shared" si="78"/>
        <v>0</v>
      </c>
      <c r="V176" s="85">
        <f t="shared" si="78"/>
        <v>37157.792240000002</v>
      </c>
      <c r="W176" s="85">
        <f t="shared" si="78"/>
        <v>34357.792240000002</v>
      </c>
      <c r="Y176" s="15">
        <f>+SUM(Y167:Y175)</f>
        <v>37157.792240000002</v>
      </c>
      <c r="Z176" s="15">
        <f>+SUM(Z167:Z175)</f>
        <v>34357.792240000002</v>
      </c>
    </row>
    <row r="177" spans="1:26" s="10" customFormat="1" x14ac:dyDescent="0.25">
      <c r="A177" s="32"/>
      <c r="B177" s="50"/>
      <c r="C177" s="159"/>
      <c r="D177" s="160"/>
      <c r="E177" s="213"/>
      <c r="F177" s="84"/>
      <c r="G177" s="84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Y177" s="14"/>
      <c r="Z177" s="14"/>
    </row>
    <row r="178" spans="1:26" s="10" customFormat="1" ht="18.75" x14ac:dyDescent="0.25">
      <c r="A178" s="266" t="s">
        <v>397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Y178" s="14"/>
      <c r="Z178" s="14"/>
    </row>
    <row r="179" spans="1:26" s="10" customFormat="1" ht="35.25" customHeight="1" x14ac:dyDescent="0.25">
      <c r="A179" s="29" t="s">
        <v>69</v>
      </c>
      <c r="B179" s="223" t="s">
        <v>584</v>
      </c>
      <c r="C179" s="29" t="s">
        <v>17</v>
      </c>
      <c r="D179" s="29" t="s">
        <v>161</v>
      </c>
      <c r="E179" s="29" t="s">
        <v>143</v>
      </c>
      <c r="F179" s="29" t="s">
        <v>27</v>
      </c>
      <c r="G179" s="29" t="s">
        <v>19</v>
      </c>
      <c r="H179" s="29" t="s">
        <v>18</v>
      </c>
      <c r="I179" s="29" t="s">
        <v>66</v>
      </c>
      <c r="J179" s="29" t="s">
        <v>74</v>
      </c>
      <c r="K179" s="47" t="s">
        <v>301</v>
      </c>
      <c r="L179" s="47" t="s">
        <v>302</v>
      </c>
      <c r="M179" s="47" t="s">
        <v>303</v>
      </c>
      <c r="N179" s="47" t="s">
        <v>304</v>
      </c>
      <c r="O179" s="29" t="s">
        <v>305</v>
      </c>
      <c r="P179" s="29" t="s">
        <v>67</v>
      </c>
      <c r="Q179" s="29" t="s">
        <v>68</v>
      </c>
      <c r="R179" s="29" t="s">
        <v>20</v>
      </c>
      <c r="S179" s="29" t="s">
        <v>452</v>
      </c>
      <c r="T179" s="29" t="s">
        <v>72</v>
      </c>
      <c r="U179" s="29" t="s">
        <v>157</v>
      </c>
      <c r="V179" s="29" t="s">
        <v>155</v>
      </c>
      <c r="W179" s="29" t="s">
        <v>156</v>
      </c>
      <c r="Y179" s="14"/>
      <c r="Z179" s="14"/>
    </row>
    <row r="180" spans="1:26" s="10" customFormat="1" ht="22.5" x14ac:dyDescent="0.25">
      <c r="A180" s="30">
        <v>91</v>
      </c>
      <c r="B180" s="45">
        <v>2859735631</v>
      </c>
      <c r="C180" s="16" t="s">
        <v>2</v>
      </c>
      <c r="D180" s="16" t="s">
        <v>261</v>
      </c>
      <c r="E180" s="18" t="s">
        <v>207</v>
      </c>
      <c r="F180" s="63">
        <v>15</v>
      </c>
      <c r="G180" s="72">
        <v>661.33</v>
      </c>
      <c r="H180" s="72">
        <f t="shared" ref="H180:H188" si="79">F180*G180</f>
        <v>9919.9500000000007</v>
      </c>
      <c r="I180" s="72"/>
      <c r="J180" s="72"/>
      <c r="K180" s="72">
        <f>VLOOKUP($H$180,Tabisr,1)</f>
        <v>5081.01</v>
      </c>
      <c r="L180" s="68">
        <f t="shared" ref="L180:L188" si="80">+H180-K180</f>
        <v>4838.9400000000005</v>
      </c>
      <c r="M180" s="73">
        <f>VLOOKUP($H$180,Tabisr,4)</f>
        <v>0.21360000000000001</v>
      </c>
      <c r="N180" s="72">
        <f>(H180-5081.01)*21.36%</f>
        <v>1033.5975840000001</v>
      </c>
      <c r="O180" s="72">
        <v>538.20000000000005</v>
      </c>
      <c r="P180" s="72">
        <f t="shared" ref="P180:P188" si="81">N180+O180</f>
        <v>1571.7975840000001</v>
      </c>
      <c r="Q180" s="72">
        <f>VLOOKUP($H$180,Tabsub,3)</f>
        <v>0</v>
      </c>
      <c r="R180" s="72"/>
      <c r="S180" s="72">
        <v>1667</v>
      </c>
      <c r="T180" s="72"/>
      <c r="U180" s="72"/>
      <c r="V180" s="68">
        <f t="shared" ref="V180:V186" si="82">H180+I180+J180-P180+Q180-R180-S180-T180-U180</f>
        <v>6681.1524160000008</v>
      </c>
      <c r="W180" s="68">
        <f t="shared" ref="W180:W186" si="83">V180-I180</f>
        <v>6681.1524160000008</v>
      </c>
      <c r="Y180" s="14">
        <f t="shared" ref="Y180:Y189" si="84">+H180+I180+J180+Q180-P180-R180-S180-T180-U180</f>
        <v>6681.1524160000008</v>
      </c>
      <c r="Z180" s="14">
        <f t="shared" ref="Z180:Z189" si="85">+V180-I180</f>
        <v>6681.1524160000008</v>
      </c>
    </row>
    <row r="181" spans="1:26" s="10" customFormat="1" x14ac:dyDescent="0.25">
      <c r="A181" s="30">
        <v>92</v>
      </c>
      <c r="B181" s="45">
        <v>1585781802</v>
      </c>
      <c r="C181" s="16" t="s">
        <v>49</v>
      </c>
      <c r="D181" s="18" t="s">
        <v>163</v>
      </c>
      <c r="E181" s="18" t="s">
        <v>128</v>
      </c>
      <c r="F181" s="63">
        <v>15</v>
      </c>
      <c r="G181" s="72">
        <v>263.56</v>
      </c>
      <c r="H181" s="72">
        <f t="shared" si="79"/>
        <v>3953.4</v>
      </c>
      <c r="I181" s="72">
        <v>400</v>
      </c>
      <c r="J181" s="72">
        <f>G181*2</f>
        <v>527.12</v>
      </c>
      <c r="K181" s="72">
        <f>VLOOKUP($H$181,Tabisr,1)</f>
        <v>3651.01</v>
      </c>
      <c r="L181" s="68">
        <f t="shared" si="80"/>
        <v>302.38999999999987</v>
      </c>
      <c r="M181" s="73">
        <f>VLOOKUP($H$181,Tabisr,4)</f>
        <v>0.16</v>
      </c>
      <c r="N181" s="72">
        <f>(H181-3651.01)*16%+0.18</f>
        <v>48.562399999999982</v>
      </c>
      <c r="O181" s="72">
        <v>293.25</v>
      </c>
      <c r="P181" s="72">
        <v>309.77999999999997</v>
      </c>
      <c r="Q181" s="72">
        <f>VLOOKUP($H$181,Tabsub,3)</f>
        <v>0</v>
      </c>
      <c r="R181" s="72">
        <v>1350</v>
      </c>
      <c r="S181" s="72"/>
      <c r="T181" s="72"/>
      <c r="U181" s="72"/>
      <c r="V181" s="68">
        <f t="shared" si="82"/>
        <v>3220.74</v>
      </c>
      <c r="W181" s="68">
        <f t="shared" si="83"/>
        <v>2820.74</v>
      </c>
      <c r="Y181" s="14">
        <f t="shared" si="84"/>
        <v>3220.74</v>
      </c>
      <c r="Z181" s="14">
        <f t="shared" si="85"/>
        <v>2820.74</v>
      </c>
    </row>
    <row r="182" spans="1:26" s="10" customFormat="1" x14ac:dyDescent="0.25">
      <c r="A182" s="30">
        <v>93</v>
      </c>
      <c r="B182" s="45">
        <v>1585781810</v>
      </c>
      <c r="C182" s="16" t="s">
        <v>47</v>
      </c>
      <c r="D182" s="152" t="s">
        <v>180</v>
      </c>
      <c r="E182" s="152" t="s">
        <v>126</v>
      </c>
      <c r="F182" s="63">
        <v>15</v>
      </c>
      <c r="G182" s="64">
        <v>220.57</v>
      </c>
      <c r="H182" s="64">
        <f t="shared" si="79"/>
        <v>3308.5499999999997</v>
      </c>
      <c r="I182" s="64">
        <v>400</v>
      </c>
      <c r="J182" s="72">
        <f t="shared" ref="J182:J187" si="86">G182*2</f>
        <v>441.14</v>
      </c>
      <c r="K182" s="64">
        <f>VLOOKUP($H$182,Tabisr,1)</f>
        <v>2077.5100000000002</v>
      </c>
      <c r="L182" s="66">
        <f t="shared" si="80"/>
        <v>1231.0399999999995</v>
      </c>
      <c r="M182" s="67">
        <f>VLOOKUP($H$182,Tabisr,4)</f>
        <v>0.10879999999999999</v>
      </c>
      <c r="N182" s="64">
        <f t="shared" ref="N182:N188" si="87">(H182-2077.51)*10.88%</f>
        <v>133.93715199999997</v>
      </c>
      <c r="O182" s="64">
        <v>121.95</v>
      </c>
      <c r="P182" s="64">
        <v>237.77</v>
      </c>
      <c r="Q182" s="64">
        <f t="shared" ref="Q182:Q188" si="88">VLOOKUP($H$182,Tabsub,3)</f>
        <v>125.1</v>
      </c>
      <c r="R182" s="64"/>
      <c r="S182" s="64">
        <v>1011</v>
      </c>
      <c r="T182" s="64"/>
      <c r="U182" s="72"/>
      <c r="V182" s="68">
        <f t="shared" si="82"/>
        <v>3026.0199999999995</v>
      </c>
      <c r="W182" s="66">
        <f t="shared" si="83"/>
        <v>2626.0199999999995</v>
      </c>
      <c r="Y182" s="14">
        <f t="shared" si="84"/>
        <v>3026.02</v>
      </c>
      <c r="Z182" s="14">
        <f t="shared" si="85"/>
        <v>2626.0199999999995</v>
      </c>
    </row>
    <row r="183" spans="1:26" s="10" customFormat="1" x14ac:dyDescent="0.25">
      <c r="A183" s="30">
        <v>94</v>
      </c>
      <c r="B183" s="45">
        <v>1585781828</v>
      </c>
      <c r="C183" s="16" t="s">
        <v>331</v>
      </c>
      <c r="D183" s="18" t="s">
        <v>180</v>
      </c>
      <c r="E183" s="18" t="s">
        <v>332</v>
      </c>
      <c r="F183" s="63">
        <v>15</v>
      </c>
      <c r="G183" s="72">
        <v>220.57300000000001</v>
      </c>
      <c r="H183" s="72">
        <f t="shared" si="79"/>
        <v>3308.5950000000003</v>
      </c>
      <c r="I183" s="72">
        <v>400</v>
      </c>
      <c r="J183" s="72"/>
      <c r="K183" s="72">
        <f>VLOOKUP($H$182,Tabisr,1)</f>
        <v>2077.5100000000002</v>
      </c>
      <c r="L183" s="68">
        <f t="shared" si="80"/>
        <v>1231.085</v>
      </c>
      <c r="M183" s="73">
        <f>VLOOKUP($H$182,Tabisr,4)</f>
        <v>0.10879999999999999</v>
      </c>
      <c r="N183" s="64">
        <f t="shared" si="87"/>
        <v>133.942048</v>
      </c>
      <c r="O183" s="64">
        <v>121.95</v>
      </c>
      <c r="P183" s="64">
        <f t="shared" si="81"/>
        <v>255.89204799999999</v>
      </c>
      <c r="Q183" s="72">
        <f t="shared" si="88"/>
        <v>125.1</v>
      </c>
      <c r="R183" s="72">
        <v>1150</v>
      </c>
      <c r="S183" s="72"/>
      <c r="T183" s="72"/>
      <c r="U183" s="72"/>
      <c r="V183" s="68">
        <f t="shared" si="82"/>
        <v>2427.802952</v>
      </c>
      <c r="W183" s="66">
        <f t="shared" si="83"/>
        <v>2027.802952</v>
      </c>
      <c r="Y183" s="14">
        <f t="shared" si="84"/>
        <v>2427.802952</v>
      </c>
      <c r="Z183" s="14">
        <f t="shared" si="85"/>
        <v>2027.802952</v>
      </c>
    </row>
    <row r="184" spans="1:26" s="10" customFormat="1" x14ac:dyDescent="0.25">
      <c r="A184" s="30">
        <v>95</v>
      </c>
      <c r="B184" s="45">
        <v>1585781836</v>
      </c>
      <c r="C184" s="16" t="s">
        <v>319</v>
      </c>
      <c r="D184" s="152" t="s">
        <v>180</v>
      </c>
      <c r="E184" s="152" t="s">
        <v>324</v>
      </c>
      <c r="F184" s="63">
        <v>15</v>
      </c>
      <c r="G184" s="72">
        <v>220.57300000000001</v>
      </c>
      <c r="H184" s="64">
        <f t="shared" si="79"/>
        <v>3308.5950000000003</v>
      </c>
      <c r="I184" s="64">
        <v>400</v>
      </c>
      <c r="J184" s="72">
        <f t="shared" si="86"/>
        <v>441.14600000000002</v>
      </c>
      <c r="K184" s="64">
        <f>VLOOKUP($H$182,Tabisr,1)</f>
        <v>2077.5100000000002</v>
      </c>
      <c r="L184" s="66">
        <f t="shared" si="80"/>
        <v>1231.085</v>
      </c>
      <c r="M184" s="67">
        <f>VLOOKUP($H$182,Tabisr,4)</f>
        <v>0.10879999999999999</v>
      </c>
      <c r="N184" s="64">
        <f t="shared" si="87"/>
        <v>133.942048</v>
      </c>
      <c r="O184" s="64">
        <v>121.95</v>
      </c>
      <c r="P184" s="64">
        <f t="shared" si="81"/>
        <v>255.89204799999999</v>
      </c>
      <c r="Q184" s="64">
        <f t="shared" si="88"/>
        <v>125.1</v>
      </c>
      <c r="R184" s="64"/>
      <c r="S184" s="64">
        <v>499</v>
      </c>
      <c r="T184" s="64"/>
      <c r="U184" s="64"/>
      <c r="V184" s="68">
        <f t="shared" si="82"/>
        <v>3519.9489519999997</v>
      </c>
      <c r="W184" s="66">
        <f t="shared" si="83"/>
        <v>3119.9489519999997</v>
      </c>
      <c r="Y184" s="14">
        <f t="shared" si="84"/>
        <v>3519.9489520000002</v>
      </c>
      <c r="Z184" s="14">
        <f t="shared" si="85"/>
        <v>3119.9489519999997</v>
      </c>
    </row>
    <row r="185" spans="1:26" s="10" customFormat="1" x14ac:dyDescent="0.25">
      <c r="A185" s="30">
        <v>96</v>
      </c>
      <c r="B185" s="45">
        <v>1585781844</v>
      </c>
      <c r="C185" s="151" t="s">
        <v>320</v>
      </c>
      <c r="D185" s="152" t="s">
        <v>180</v>
      </c>
      <c r="E185" s="152" t="s">
        <v>321</v>
      </c>
      <c r="F185" s="63">
        <v>15</v>
      </c>
      <c r="G185" s="72">
        <v>220.57300000000001</v>
      </c>
      <c r="H185" s="64">
        <f>F185*G185</f>
        <v>3308.5950000000003</v>
      </c>
      <c r="I185" s="64">
        <v>400</v>
      </c>
      <c r="J185" s="72">
        <f t="shared" si="86"/>
        <v>441.14600000000002</v>
      </c>
      <c r="K185" s="64" t="e">
        <f>VLOOKUP(#REF!,Tabisr,1)</f>
        <v>#REF!</v>
      </c>
      <c r="L185" s="66" t="e">
        <f>+H185-K185</f>
        <v>#REF!</v>
      </c>
      <c r="M185" s="67" t="e">
        <f>VLOOKUP(#REF!,Tabisr,4)</f>
        <v>#REF!</v>
      </c>
      <c r="N185" s="64">
        <f t="shared" si="87"/>
        <v>133.942048</v>
      </c>
      <c r="O185" s="64">
        <v>121.95</v>
      </c>
      <c r="P185" s="64">
        <f>N185+O185</f>
        <v>255.89204799999999</v>
      </c>
      <c r="Q185" s="64">
        <f t="shared" si="88"/>
        <v>125.1</v>
      </c>
      <c r="R185" s="64"/>
      <c r="S185" s="64"/>
      <c r="T185" s="64"/>
      <c r="U185" s="64"/>
      <c r="V185" s="68">
        <f t="shared" si="82"/>
        <v>4018.9489519999997</v>
      </c>
      <c r="W185" s="66">
        <f t="shared" si="83"/>
        <v>3618.9489519999997</v>
      </c>
      <c r="Y185" s="14">
        <f t="shared" si="84"/>
        <v>4018.9489520000002</v>
      </c>
      <c r="Z185" s="14">
        <f t="shared" si="85"/>
        <v>3618.9489519999997</v>
      </c>
    </row>
    <row r="186" spans="1:26" s="10" customFormat="1" x14ac:dyDescent="0.25">
      <c r="A186" s="30">
        <v>97</v>
      </c>
      <c r="B186" s="45">
        <v>1585781854</v>
      </c>
      <c r="C186" s="151" t="s">
        <v>322</v>
      </c>
      <c r="D186" s="152" t="s">
        <v>180</v>
      </c>
      <c r="E186" s="152" t="s">
        <v>323</v>
      </c>
      <c r="F186" s="63">
        <v>15</v>
      </c>
      <c r="G186" s="72">
        <v>220.57300000000001</v>
      </c>
      <c r="H186" s="64">
        <f>F186*G186</f>
        <v>3308.5950000000003</v>
      </c>
      <c r="I186" s="64">
        <v>400</v>
      </c>
      <c r="J186" s="72"/>
      <c r="K186" s="64" t="e">
        <f>VLOOKUP(#REF!,Tabisr,1)</f>
        <v>#REF!</v>
      </c>
      <c r="L186" s="66" t="e">
        <f>+H186-K186</f>
        <v>#REF!</v>
      </c>
      <c r="M186" s="67" t="e">
        <f>VLOOKUP(#REF!,Tabisr,4)</f>
        <v>#REF!</v>
      </c>
      <c r="N186" s="64">
        <f t="shared" si="87"/>
        <v>133.942048</v>
      </c>
      <c r="O186" s="64">
        <v>121.95</v>
      </c>
      <c r="P186" s="64">
        <v>255.89</v>
      </c>
      <c r="Q186" s="64">
        <f t="shared" si="88"/>
        <v>125.1</v>
      </c>
      <c r="R186" s="64">
        <v>950</v>
      </c>
      <c r="S186" s="64"/>
      <c r="T186" s="64"/>
      <c r="U186" s="64"/>
      <c r="V186" s="68">
        <f t="shared" si="82"/>
        <v>2627.8050000000003</v>
      </c>
      <c r="W186" s="66">
        <f t="shared" si="83"/>
        <v>2227.8050000000003</v>
      </c>
      <c r="Y186" s="14">
        <f t="shared" si="84"/>
        <v>2627.8050000000003</v>
      </c>
      <c r="Z186" s="14">
        <f t="shared" si="85"/>
        <v>2227.8050000000003</v>
      </c>
    </row>
    <row r="187" spans="1:26" s="10" customFormat="1" x14ac:dyDescent="0.25">
      <c r="A187" s="30">
        <v>98</v>
      </c>
      <c r="B187" s="45">
        <v>1585781861</v>
      </c>
      <c r="C187" s="16" t="s">
        <v>653</v>
      </c>
      <c r="D187" s="18" t="s">
        <v>180</v>
      </c>
      <c r="E187" s="18" t="s">
        <v>606</v>
      </c>
      <c r="F187" s="63">
        <v>15</v>
      </c>
      <c r="G187" s="72">
        <v>220.57300000000001</v>
      </c>
      <c r="H187" s="64">
        <f>F187*G187</f>
        <v>3308.5950000000003</v>
      </c>
      <c r="I187" s="64">
        <v>400</v>
      </c>
      <c r="J187" s="72">
        <f t="shared" si="86"/>
        <v>441.14600000000002</v>
      </c>
      <c r="K187" s="64" t="e">
        <f>VLOOKUP(#REF!,Tabisr,1)</f>
        <v>#REF!</v>
      </c>
      <c r="L187" s="66" t="e">
        <f>+H187-K187</f>
        <v>#REF!</v>
      </c>
      <c r="M187" s="67" t="e">
        <f>VLOOKUP(#REF!,Tabisr,4)</f>
        <v>#REF!</v>
      </c>
      <c r="N187" s="64">
        <f t="shared" ref="N187" si="89">(H187-2077.51)*10.88%</f>
        <v>133.942048</v>
      </c>
      <c r="O187" s="64">
        <v>121.95</v>
      </c>
      <c r="P187" s="64">
        <f>N187+O187</f>
        <v>255.89204799999999</v>
      </c>
      <c r="Q187" s="64">
        <f t="shared" si="88"/>
        <v>125.1</v>
      </c>
      <c r="R187" s="64"/>
      <c r="S187" s="64"/>
      <c r="T187" s="64"/>
      <c r="U187" s="64"/>
      <c r="V187" s="68">
        <f t="shared" ref="V187" si="90">H187+I187+J187-P187+Q187-R187-S187-T187-U187</f>
        <v>4018.9489519999997</v>
      </c>
      <c r="W187" s="66">
        <f>V187-I187</f>
        <v>3618.9489519999997</v>
      </c>
      <c r="Y187" s="14">
        <f t="shared" si="84"/>
        <v>4018.9489520000002</v>
      </c>
      <c r="Z187" s="14">
        <f t="shared" si="85"/>
        <v>3618.9489519999997</v>
      </c>
    </row>
    <row r="188" spans="1:26" s="10" customFormat="1" x14ac:dyDescent="0.25">
      <c r="A188" s="30">
        <v>99</v>
      </c>
      <c r="B188" s="45">
        <v>1585781879</v>
      </c>
      <c r="C188" s="151" t="s">
        <v>48</v>
      </c>
      <c r="D188" s="152" t="s">
        <v>180</v>
      </c>
      <c r="E188" s="152" t="s">
        <v>127</v>
      </c>
      <c r="F188" s="63">
        <v>15</v>
      </c>
      <c r="G188" s="72">
        <v>220.57300000000001</v>
      </c>
      <c r="H188" s="64">
        <f t="shared" si="79"/>
        <v>3308.5950000000003</v>
      </c>
      <c r="I188" s="64">
        <v>400</v>
      </c>
      <c r="J188" s="72"/>
      <c r="K188" s="64">
        <f>VLOOKUP($H$188,Tabisr,1)</f>
        <v>2077.5100000000002</v>
      </c>
      <c r="L188" s="66">
        <f t="shared" si="80"/>
        <v>1231.085</v>
      </c>
      <c r="M188" s="67">
        <f>VLOOKUP($H$188,Tabisr,4)</f>
        <v>0.10879999999999999</v>
      </c>
      <c r="N188" s="64">
        <f t="shared" si="87"/>
        <v>133.942048</v>
      </c>
      <c r="O188" s="64">
        <v>121.95</v>
      </c>
      <c r="P188" s="64">
        <f t="shared" si="81"/>
        <v>255.89204799999999</v>
      </c>
      <c r="Q188" s="64">
        <f t="shared" si="88"/>
        <v>125.1</v>
      </c>
      <c r="R188" s="64"/>
      <c r="S188" s="64"/>
      <c r="T188" s="64"/>
      <c r="U188" s="64"/>
      <c r="V188" s="68">
        <f>H188+I188+J188-P188+Q188-R188-S188-T188-U188</f>
        <v>3577.802952</v>
      </c>
      <c r="W188" s="66">
        <f>V188-I188</f>
        <v>3177.802952</v>
      </c>
      <c r="Y188" s="14">
        <f t="shared" si="84"/>
        <v>3577.802952</v>
      </c>
      <c r="Z188" s="14">
        <f t="shared" si="85"/>
        <v>3177.802952</v>
      </c>
    </row>
    <row r="189" spans="1:26" s="10" customFormat="1" x14ac:dyDescent="0.25">
      <c r="A189" s="32"/>
      <c r="B189" s="50"/>
      <c r="C189" s="165"/>
      <c r="D189" s="26"/>
      <c r="E189" s="26"/>
      <c r="F189" s="69"/>
      <c r="G189" s="70"/>
      <c r="H189" s="71">
        <f>+SUM(H180:H188)</f>
        <v>37033.470000000008</v>
      </c>
      <c r="I189" s="71">
        <f>+SUM(I180:I188)</f>
        <v>3200</v>
      </c>
      <c r="J189" s="71">
        <f t="shared" ref="J189:W189" si="91">+SUM(J180:J188)</f>
        <v>2291.6979999999999</v>
      </c>
      <c r="K189" s="71" t="e">
        <f t="shared" si="91"/>
        <v>#REF!</v>
      </c>
      <c r="L189" s="71" t="e">
        <f t="shared" si="91"/>
        <v>#REF!</v>
      </c>
      <c r="M189" s="71" t="e">
        <f t="shared" si="91"/>
        <v>#REF!</v>
      </c>
      <c r="N189" s="71">
        <f t="shared" si="91"/>
        <v>2019.7494239999996</v>
      </c>
      <c r="O189" s="71">
        <f t="shared" si="91"/>
        <v>1685.1000000000004</v>
      </c>
      <c r="P189" s="71">
        <f t="shared" si="91"/>
        <v>3654.6978240000008</v>
      </c>
      <c r="Q189" s="71">
        <f t="shared" si="91"/>
        <v>875.7</v>
      </c>
      <c r="R189" s="71">
        <f t="shared" si="91"/>
        <v>3450</v>
      </c>
      <c r="S189" s="71">
        <f t="shared" si="91"/>
        <v>3177</v>
      </c>
      <c r="T189" s="71">
        <f t="shared" si="91"/>
        <v>0</v>
      </c>
      <c r="U189" s="71">
        <f t="shared" si="91"/>
        <v>0</v>
      </c>
      <c r="V189" s="71">
        <f t="shared" si="91"/>
        <v>33119.170176</v>
      </c>
      <c r="W189" s="71">
        <f t="shared" si="91"/>
        <v>29919.170176</v>
      </c>
      <c r="Y189" s="15">
        <f t="shared" si="84"/>
        <v>33119.170176</v>
      </c>
      <c r="Z189" s="15">
        <f t="shared" si="85"/>
        <v>29919.170176</v>
      </c>
    </row>
    <row r="190" spans="1:26" s="10" customFormat="1" x14ac:dyDescent="0.25">
      <c r="A190" s="32"/>
      <c r="B190" s="50"/>
      <c r="C190" s="166"/>
      <c r="D190" s="160"/>
      <c r="E190" s="213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99"/>
      <c r="W190" s="84"/>
      <c r="Y190" s="14"/>
      <c r="Z190" s="14"/>
    </row>
    <row r="191" spans="1:26" s="10" customFormat="1" x14ac:dyDescent="0.25">
      <c r="A191" s="32"/>
      <c r="B191" s="50"/>
      <c r="C191" s="159"/>
      <c r="D191" s="160"/>
      <c r="E191" s="213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Y191" s="14"/>
      <c r="Z191" s="14"/>
    </row>
    <row r="192" spans="1:26" s="10" customFormat="1" ht="18.75" x14ac:dyDescent="0.25">
      <c r="A192" s="266" t="s">
        <v>637</v>
      </c>
      <c r="B192" s="266"/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Y192" s="14"/>
      <c r="Z192" s="14"/>
    </row>
    <row r="193" spans="1:26" s="10" customFormat="1" ht="37.5" customHeight="1" x14ac:dyDescent="0.25">
      <c r="A193" s="29" t="s">
        <v>69</v>
      </c>
      <c r="B193" s="223" t="s">
        <v>584</v>
      </c>
      <c r="C193" s="29" t="s">
        <v>17</v>
      </c>
      <c r="D193" s="29" t="s">
        <v>161</v>
      </c>
      <c r="E193" s="29" t="s">
        <v>143</v>
      </c>
      <c r="F193" s="29" t="s">
        <v>27</v>
      </c>
      <c r="G193" s="29" t="s">
        <v>19</v>
      </c>
      <c r="H193" s="29" t="s">
        <v>18</v>
      </c>
      <c r="I193" s="29" t="s">
        <v>66</v>
      </c>
      <c r="J193" s="29" t="s">
        <v>74</v>
      </c>
      <c r="K193" s="47" t="s">
        <v>301</v>
      </c>
      <c r="L193" s="47" t="s">
        <v>302</v>
      </c>
      <c r="M193" s="47" t="s">
        <v>303</v>
      </c>
      <c r="N193" s="47" t="s">
        <v>304</v>
      </c>
      <c r="O193" s="29" t="s">
        <v>305</v>
      </c>
      <c r="P193" s="29" t="s">
        <v>67</v>
      </c>
      <c r="Q193" s="29" t="s">
        <v>68</v>
      </c>
      <c r="R193" s="29" t="s">
        <v>20</v>
      </c>
      <c r="S193" s="29" t="s">
        <v>452</v>
      </c>
      <c r="T193" s="29" t="s">
        <v>72</v>
      </c>
      <c r="U193" s="29" t="s">
        <v>157</v>
      </c>
      <c r="V193" s="29" t="s">
        <v>155</v>
      </c>
      <c r="W193" s="29" t="s">
        <v>156</v>
      </c>
      <c r="Y193" s="14"/>
      <c r="Z193" s="14"/>
    </row>
    <row r="194" spans="1:26" s="10" customFormat="1" ht="21" customHeight="1" x14ac:dyDescent="0.25">
      <c r="A194" s="30">
        <v>100</v>
      </c>
      <c r="B194" s="45">
        <v>1585781887</v>
      </c>
      <c r="C194" s="16" t="s">
        <v>0</v>
      </c>
      <c r="D194" s="16" t="s">
        <v>311</v>
      </c>
      <c r="E194" s="18" t="s">
        <v>97</v>
      </c>
      <c r="F194" s="63">
        <v>15</v>
      </c>
      <c r="G194" s="72">
        <v>661.33</v>
      </c>
      <c r="H194" s="72">
        <f>F194*G194</f>
        <v>9919.9500000000007</v>
      </c>
      <c r="I194" s="72"/>
      <c r="J194" s="30"/>
      <c r="K194" s="72">
        <f>VLOOKUP($H$194,Tabisr,1)</f>
        <v>5081.01</v>
      </c>
      <c r="L194" s="68">
        <f t="shared" ref="L194:L209" si="92">+H194-K194</f>
        <v>4838.9400000000005</v>
      </c>
      <c r="M194" s="73">
        <f>VLOOKUP($H$194,Tabisr,4)</f>
        <v>0.21360000000000001</v>
      </c>
      <c r="N194" s="72">
        <f>(H194-5081.01)*21.36%</f>
        <v>1033.5975840000001</v>
      </c>
      <c r="O194" s="72">
        <v>538.20000000000005</v>
      </c>
      <c r="P194" s="72">
        <f>N194+O194</f>
        <v>1571.7975840000001</v>
      </c>
      <c r="Q194" s="72">
        <f>VLOOKUP($H$194,Tabsub,3)</f>
        <v>0</v>
      </c>
      <c r="R194" s="72"/>
      <c r="S194" s="72"/>
      <c r="T194" s="72"/>
      <c r="U194" s="72"/>
      <c r="V194" s="68">
        <f t="shared" ref="V194:V203" si="93">H194+I194+J194-P194+Q194-R194-S194-T194-U194</f>
        <v>8348.1524160000008</v>
      </c>
      <c r="W194" s="68">
        <f t="shared" ref="W194:W203" si="94">V194-I194</f>
        <v>8348.1524160000008</v>
      </c>
      <c r="Y194" s="14">
        <f t="shared" ref="Y194:Y210" si="95">+H194+I194+J194+Q194-P194-R194-S194-T194-U194</f>
        <v>8348.1524160000008</v>
      </c>
      <c r="Z194" s="14">
        <f t="shared" ref="Z194:Z210" si="96">+V194-I194</f>
        <v>8348.1524160000008</v>
      </c>
    </row>
    <row r="195" spans="1:26" s="10" customFormat="1" ht="22.5" x14ac:dyDescent="0.25">
      <c r="A195" s="30">
        <v>101</v>
      </c>
      <c r="B195" s="45">
        <v>1518851045</v>
      </c>
      <c r="C195" s="16" t="s">
        <v>199</v>
      </c>
      <c r="D195" s="16" t="s">
        <v>372</v>
      </c>
      <c r="E195" s="18" t="s">
        <v>266</v>
      </c>
      <c r="F195" s="63">
        <v>15</v>
      </c>
      <c r="G195" s="72">
        <v>414.83</v>
      </c>
      <c r="H195" s="72">
        <f>F195*G195</f>
        <v>6222.45</v>
      </c>
      <c r="I195" s="72">
        <v>400</v>
      </c>
      <c r="J195" s="30"/>
      <c r="K195" s="72">
        <f>VLOOKUP($H$209,Tabisr,1)</f>
        <v>5081.01</v>
      </c>
      <c r="L195" s="68">
        <f t="shared" si="92"/>
        <v>1141.4399999999996</v>
      </c>
      <c r="M195" s="73">
        <f>VLOOKUP($H$209,Tabisr,4)</f>
        <v>0.21360000000000001</v>
      </c>
      <c r="N195" s="72">
        <f>+L195*M195</f>
        <v>243.81158399999993</v>
      </c>
      <c r="O195" s="72">
        <f>VLOOKUP($H$209,Tabisr,3)</f>
        <v>538.20000000000005</v>
      </c>
      <c r="P195" s="60">
        <f>+N195+O195</f>
        <v>782.01158399999997</v>
      </c>
      <c r="Q195" s="72"/>
      <c r="R195" s="72"/>
      <c r="S195" s="72"/>
      <c r="T195" s="72"/>
      <c r="U195" s="72"/>
      <c r="V195" s="68">
        <f t="shared" si="93"/>
        <v>5840.438416</v>
      </c>
      <c r="W195" s="68">
        <f t="shared" si="94"/>
        <v>5440.438416</v>
      </c>
      <c r="Y195" s="14">
        <f t="shared" si="95"/>
        <v>5840.438416</v>
      </c>
      <c r="Z195" s="14">
        <f t="shared" si="96"/>
        <v>5440.438416</v>
      </c>
    </row>
    <row r="196" spans="1:26" s="10" customFormat="1" ht="22.5" x14ac:dyDescent="0.25">
      <c r="A196" s="37">
        <v>102</v>
      </c>
      <c r="B196" s="52"/>
      <c r="C196" s="167" t="s">
        <v>195</v>
      </c>
      <c r="D196" s="167" t="s">
        <v>507</v>
      </c>
      <c r="E196" s="184" t="s">
        <v>247</v>
      </c>
      <c r="F196" s="90">
        <v>15</v>
      </c>
      <c r="G196" s="92">
        <v>414.83</v>
      </c>
      <c r="H196" s="92">
        <f>F196*G196</f>
        <v>6222.45</v>
      </c>
      <c r="I196" s="92">
        <v>400</v>
      </c>
      <c r="J196" s="102"/>
      <c r="K196" s="92">
        <f>VLOOKUP($H$209,Tabisr,1)</f>
        <v>5081.01</v>
      </c>
      <c r="L196" s="103">
        <f>+H196-K196</f>
        <v>1141.4399999999996</v>
      </c>
      <c r="M196" s="104">
        <f>VLOOKUP($H$209,Tabisr,4)</f>
        <v>0.21360000000000001</v>
      </c>
      <c r="N196" s="92">
        <f>+L196*M196</f>
        <v>243.81158399999993</v>
      </c>
      <c r="O196" s="92">
        <f>VLOOKUP($H$209,Tabisr,3)</f>
        <v>538.20000000000005</v>
      </c>
      <c r="P196" s="92">
        <f>+N196+O196</f>
        <v>782.01158399999997</v>
      </c>
      <c r="Q196" s="92"/>
      <c r="R196" s="92"/>
      <c r="S196" s="92"/>
      <c r="T196" s="92">
        <v>20</v>
      </c>
      <c r="U196" s="92"/>
      <c r="V196" s="103">
        <f t="shared" si="93"/>
        <v>5820.438416</v>
      </c>
      <c r="W196" s="103">
        <f t="shared" si="94"/>
        <v>5420.438416</v>
      </c>
      <c r="Y196" s="14">
        <f t="shared" si="95"/>
        <v>5820.438416</v>
      </c>
      <c r="Z196" s="14">
        <f t="shared" si="96"/>
        <v>5420.438416</v>
      </c>
    </row>
    <row r="197" spans="1:26" s="10" customFormat="1" x14ac:dyDescent="0.25">
      <c r="A197" s="30">
        <v>103</v>
      </c>
      <c r="B197" s="45">
        <v>1585781895</v>
      </c>
      <c r="C197" s="151" t="s">
        <v>30</v>
      </c>
      <c r="D197" s="152" t="s">
        <v>163</v>
      </c>
      <c r="E197" s="152" t="s">
        <v>101</v>
      </c>
      <c r="F197" s="63">
        <v>15</v>
      </c>
      <c r="G197" s="64">
        <v>263.56</v>
      </c>
      <c r="H197" s="64">
        <f>F197*G197</f>
        <v>3953.4</v>
      </c>
      <c r="I197" s="64">
        <v>400</v>
      </c>
      <c r="J197" s="106"/>
      <c r="K197" s="64">
        <f>VLOOKUP($H$197,Tabisr,1)</f>
        <v>3651.01</v>
      </c>
      <c r="L197" s="66">
        <f t="shared" si="92"/>
        <v>302.38999999999987</v>
      </c>
      <c r="M197" s="67">
        <f>VLOOKUP($H$197,Tabisr,4)</f>
        <v>0.16</v>
      </c>
      <c r="N197" s="64">
        <f>(H197-3651.01)*16%</f>
        <v>48.382399999999983</v>
      </c>
      <c r="O197" s="64">
        <v>293.25</v>
      </c>
      <c r="P197" s="64">
        <f t="shared" ref="P197:P208" si="97">N197+O197</f>
        <v>341.63239999999996</v>
      </c>
      <c r="Q197" s="64">
        <f>VLOOKUP($H$197,Tabsub,3)</f>
        <v>0</v>
      </c>
      <c r="R197" s="64">
        <v>1050</v>
      </c>
      <c r="S197" s="64"/>
      <c r="T197" s="64"/>
      <c r="U197" s="64"/>
      <c r="V197" s="68">
        <f t="shared" si="93"/>
        <v>2961.7675999999997</v>
      </c>
      <c r="W197" s="66">
        <f t="shared" si="94"/>
        <v>2561.7675999999997</v>
      </c>
      <c r="Y197" s="14">
        <f t="shared" si="95"/>
        <v>2961.7675999999997</v>
      </c>
      <c r="Z197" s="14">
        <f t="shared" si="96"/>
        <v>2561.7675999999997</v>
      </c>
    </row>
    <row r="198" spans="1:26" s="10" customFormat="1" ht="20.25" customHeight="1" x14ac:dyDescent="0.25">
      <c r="A198" s="30">
        <v>104</v>
      </c>
      <c r="B198" s="45">
        <v>1585781950</v>
      </c>
      <c r="C198" s="16" t="s">
        <v>350</v>
      </c>
      <c r="D198" s="16" t="s">
        <v>163</v>
      </c>
      <c r="E198" s="148" t="s">
        <v>351</v>
      </c>
      <c r="F198" s="63">
        <v>15</v>
      </c>
      <c r="G198" s="87">
        <v>263.56</v>
      </c>
      <c r="H198" s="72">
        <f>F198*G198</f>
        <v>3953.4</v>
      </c>
      <c r="I198" s="72">
        <v>400</v>
      </c>
      <c r="J198" s="30"/>
      <c r="K198" s="72">
        <f>VLOOKUP($H$28,Tabisr,1)</f>
        <v>3651.01</v>
      </c>
      <c r="L198" s="68">
        <f>+H198-K198</f>
        <v>302.38999999999987</v>
      </c>
      <c r="M198" s="73">
        <f>VLOOKUP($H$28,Tabisr,4)</f>
        <v>0.16</v>
      </c>
      <c r="N198" s="72">
        <f>(H198-3651.01)*16%</f>
        <v>48.382399999999983</v>
      </c>
      <c r="O198" s="72">
        <v>293.25</v>
      </c>
      <c r="P198" s="72">
        <f>O198+N198</f>
        <v>341.63239999999996</v>
      </c>
      <c r="Q198" s="100"/>
      <c r="R198" s="100"/>
      <c r="S198" s="100"/>
      <c r="T198" s="100"/>
      <c r="U198" s="100"/>
      <c r="V198" s="68">
        <f t="shared" si="93"/>
        <v>4011.7675999999997</v>
      </c>
      <c r="W198" s="101">
        <f t="shared" si="94"/>
        <v>3611.7675999999997</v>
      </c>
      <c r="Y198" s="14">
        <f t="shared" si="95"/>
        <v>4011.7675999999997</v>
      </c>
      <c r="Z198" s="14">
        <f t="shared" si="96"/>
        <v>3611.7675999999997</v>
      </c>
    </row>
    <row r="199" spans="1:26" s="10" customFormat="1" x14ac:dyDescent="0.25">
      <c r="A199" s="30">
        <v>105</v>
      </c>
      <c r="B199" s="45">
        <v>1585781909</v>
      </c>
      <c r="C199" s="151" t="s">
        <v>665</v>
      </c>
      <c r="D199" s="152" t="s">
        <v>185</v>
      </c>
      <c r="E199" s="152" t="s">
        <v>475</v>
      </c>
      <c r="F199" s="63">
        <v>15</v>
      </c>
      <c r="G199" s="64">
        <v>358.47</v>
      </c>
      <c r="H199" s="64">
        <f t="shared" ref="H199:H209" si="98">F199*G199</f>
        <v>5377.05</v>
      </c>
      <c r="I199" s="64">
        <v>400</v>
      </c>
      <c r="J199" s="66"/>
      <c r="K199" s="64">
        <f>VLOOKUP($H$199,Tabisr,1)</f>
        <v>5081.01</v>
      </c>
      <c r="L199" s="66">
        <f t="shared" si="92"/>
        <v>296.03999999999996</v>
      </c>
      <c r="M199" s="67">
        <f>VLOOKUP($H$199,Tabisr,4)</f>
        <v>0.21360000000000001</v>
      </c>
      <c r="N199" s="64">
        <f>(H199-5081.011)*21.36%</f>
        <v>63.233930399999942</v>
      </c>
      <c r="O199" s="72">
        <v>538.20000000000005</v>
      </c>
      <c r="P199" s="64">
        <f t="shared" si="97"/>
        <v>601.43393040000001</v>
      </c>
      <c r="Q199" s="64">
        <f>VLOOKUP($H$199,Tabsub,3)</f>
        <v>0</v>
      </c>
      <c r="R199" s="64"/>
      <c r="S199" s="64"/>
      <c r="T199" s="64"/>
      <c r="U199" s="64"/>
      <c r="V199" s="68">
        <f t="shared" si="93"/>
        <v>5175.6160696000006</v>
      </c>
      <c r="W199" s="66">
        <f t="shared" si="94"/>
        <v>4775.6160696000006</v>
      </c>
      <c r="Y199" s="14">
        <f t="shared" si="95"/>
        <v>5175.6160696000006</v>
      </c>
      <c r="Z199" s="14">
        <f t="shared" si="96"/>
        <v>4775.6160696000006</v>
      </c>
    </row>
    <row r="200" spans="1:26" s="10" customFormat="1" x14ac:dyDescent="0.25">
      <c r="A200" s="30">
        <v>106</v>
      </c>
      <c r="B200" s="45">
        <v>1585781942</v>
      </c>
      <c r="C200" s="16" t="s">
        <v>610</v>
      </c>
      <c r="D200" s="18" t="s">
        <v>185</v>
      </c>
      <c r="E200" s="18" t="s">
        <v>611</v>
      </c>
      <c r="F200" s="63">
        <v>15</v>
      </c>
      <c r="G200" s="72">
        <v>358.47</v>
      </c>
      <c r="H200" s="72">
        <f>F200*G200</f>
        <v>5377.05</v>
      </c>
      <c r="I200" s="72">
        <v>400</v>
      </c>
      <c r="J200" s="68"/>
      <c r="K200" s="72">
        <f>VLOOKUP($H$199,Tabisr,1)</f>
        <v>5081.01</v>
      </c>
      <c r="L200" s="68">
        <f>+H200-K200</f>
        <v>296.03999999999996</v>
      </c>
      <c r="M200" s="73">
        <f>VLOOKUP($H$199,Tabisr,4)</f>
        <v>0.21360000000000001</v>
      </c>
      <c r="N200" s="72">
        <f>(H200-5081.011)*21.36%</f>
        <v>63.233930399999942</v>
      </c>
      <c r="O200" s="72">
        <v>538.20000000000005</v>
      </c>
      <c r="P200" s="72">
        <f>N200+O200</f>
        <v>601.43393040000001</v>
      </c>
      <c r="Q200" s="72">
        <f>VLOOKUP($H$199,Tabsub,3)</f>
        <v>0</v>
      </c>
      <c r="R200" s="72"/>
      <c r="S200" s="72"/>
      <c r="T200" s="72"/>
      <c r="U200" s="72"/>
      <c r="V200" s="68">
        <f t="shared" si="93"/>
        <v>5175.6160696000006</v>
      </c>
      <c r="W200" s="68">
        <f t="shared" si="94"/>
        <v>4775.6160696000006</v>
      </c>
      <c r="Y200" s="14">
        <f t="shared" si="95"/>
        <v>5175.6160696000006</v>
      </c>
      <c r="Z200" s="14">
        <f t="shared" si="96"/>
        <v>4775.6160696000006</v>
      </c>
    </row>
    <row r="201" spans="1:26" s="10" customFormat="1" x14ac:dyDescent="0.25">
      <c r="A201" s="30">
        <v>107</v>
      </c>
      <c r="B201" s="45">
        <v>2776321127</v>
      </c>
      <c r="C201" s="16" t="s">
        <v>515</v>
      </c>
      <c r="D201" s="16" t="s">
        <v>185</v>
      </c>
      <c r="E201" s="18" t="s">
        <v>516</v>
      </c>
      <c r="F201" s="63">
        <v>15</v>
      </c>
      <c r="G201" s="64">
        <v>358.47</v>
      </c>
      <c r="H201" s="64">
        <f>F201*G201</f>
        <v>5377.05</v>
      </c>
      <c r="I201" s="64">
        <v>400</v>
      </c>
      <c r="J201" s="66"/>
      <c r="K201" s="64">
        <f>VLOOKUP($H$199,Tabisr,1)</f>
        <v>5081.01</v>
      </c>
      <c r="L201" s="66">
        <f>+H201-K201</f>
        <v>296.03999999999996</v>
      </c>
      <c r="M201" s="67">
        <f>VLOOKUP($H$199,Tabisr,4)</f>
        <v>0.21360000000000001</v>
      </c>
      <c r="N201" s="64">
        <f>(H201-5081.011)*21.36%</f>
        <v>63.233930399999942</v>
      </c>
      <c r="O201" s="72">
        <v>538.20000000000005</v>
      </c>
      <c r="P201" s="64">
        <f>N201+O201</f>
        <v>601.43393040000001</v>
      </c>
      <c r="Q201" s="64">
        <f>VLOOKUP($H$199,Tabsub,3)</f>
        <v>0</v>
      </c>
      <c r="R201" s="64"/>
      <c r="S201" s="64"/>
      <c r="T201" s="64"/>
      <c r="U201" s="64"/>
      <c r="V201" s="68">
        <f t="shared" si="93"/>
        <v>5175.6160696000006</v>
      </c>
      <c r="W201" s="66">
        <f t="shared" si="94"/>
        <v>4775.6160696000006</v>
      </c>
      <c r="Y201" s="14">
        <f t="shared" si="95"/>
        <v>5175.6160696000006</v>
      </c>
      <c r="Z201" s="14">
        <f t="shared" si="96"/>
        <v>4775.6160696000006</v>
      </c>
    </row>
    <row r="202" spans="1:26" s="10" customFormat="1" x14ac:dyDescent="0.25">
      <c r="A202" s="30">
        <v>108</v>
      </c>
      <c r="B202" s="45">
        <v>1585781968</v>
      </c>
      <c r="C202" s="16" t="s">
        <v>200</v>
      </c>
      <c r="D202" s="18" t="s">
        <v>185</v>
      </c>
      <c r="E202" s="18" t="s">
        <v>102</v>
      </c>
      <c r="F202" s="63">
        <v>15</v>
      </c>
      <c r="G202" s="72">
        <v>358.47</v>
      </c>
      <c r="H202" s="72">
        <f>F202*G202</f>
        <v>5377.05</v>
      </c>
      <c r="I202" s="72">
        <v>400</v>
      </c>
      <c r="J202" s="30"/>
      <c r="K202" s="72">
        <f>VLOOKUP($H$199,Tabisr,1)</f>
        <v>5081.01</v>
      </c>
      <c r="L202" s="68">
        <f>+H202-K202</f>
        <v>296.03999999999996</v>
      </c>
      <c r="M202" s="73">
        <f>VLOOKUP($H$199,Tabisr,4)</f>
        <v>0.21360000000000001</v>
      </c>
      <c r="N202" s="72">
        <f>(H202-5081.011)*21.36%</f>
        <v>63.233930399999942</v>
      </c>
      <c r="O202" s="72">
        <v>538.20000000000005</v>
      </c>
      <c r="P202" s="72">
        <f>N202+O202</f>
        <v>601.43393040000001</v>
      </c>
      <c r="Q202" s="72">
        <f>VLOOKUP($H$199,Tabsub,3)</f>
        <v>0</v>
      </c>
      <c r="R202" s="72"/>
      <c r="S202" s="72"/>
      <c r="T202" s="72"/>
      <c r="U202" s="72"/>
      <c r="V202" s="68">
        <f t="shared" si="93"/>
        <v>5175.6160696000006</v>
      </c>
      <c r="W202" s="68">
        <f t="shared" si="94"/>
        <v>4775.6160696000006</v>
      </c>
      <c r="Y202" s="14">
        <f t="shared" si="95"/>
        <v>5175.6160696000006</v>
      </c>
      <c r="Z202" s="14">
        <f t="shared" si="96"/>
        <v>4775.6160696000006</v>
      </c>
    </row>
    <row r="203" spans="1:26" s="10" customFormat="1" x14ac:dyDescent="0.25">
      <c r="A203" s="30">
        <v>109</v>
      </c>
      <c r="B203" s="45">
        <v>1585781976</v>
      </c>
      <c r="C203" s="16" t="s">
        <v>497</v>
      </c>
      <c r="D203" s="16" t="s">
        <v>186</v>
      </c>
      <c r="E203" s="18" t="s">
        <v>498</v>
      </c>
      <c r="F203" s="63">
        <v>15</v>
      </c>
      <c r="G203" s="72">
        <v>358.47</v>
      </c>
      <c r="H203" s="64">
        <f>F203*G203</f>
        <v>5377.05</v>
      </c>
      <c r="I203" s="64">
        <v>400</v>
      </c>
      <c r="J203" s="64"/>
      <c r="K203" s="64">
        <f>VLOOKUP($H$290,Tabisr,1)</f>
        <v>3651.01</v>
      </c>
      <c r="L203" s="66">
        <f>+H203-K203</f>
        <v>1726.04</v>
      </c>
      <c r="M203" s="67">
        <f>VLOOKUP($H$290,Tabisr,4)</f>
        <v>0.16</v>
      </c>
      <c r="N203" s="64">
        <f>(H203-3651.01)*16%</f>
        <v>276.16640000000001</v>
      </c>
      <c r="O203" s="64">
        <v>293.25</v>
      </c>
      <c r="P203" s="64">
        <f>N203+O203</f>
        <v>569.41640000000007</v>
      </c>
      <c r="Q203" s="64"/>
      <c r="R203" s="60"/>
      <c r="S203" s="60"/>
      <c r="T203" s="65"/>
      <c r="U203" s="65"/>
      <c r="V203" s="68">
        <f t="shared" si="93"/>
        <v>5207.6336000000001</v>
      </c>
      <c r="W203" s="66">
        <f t="shared" si="94"/>
        <v>4807.6336000000001</v>
      </c>
      <c r="Y203" s="14">
        <f t="shared" si="95"/>
        <v>5207.6336000000001</v>
      </c>
      <c r="Z203" s="14">
        <f t="shared" si="96"/>
        <v>4807.6336000000001</v>
      </c>
    </row>
    <row r="204" spans="1:26" s="10" customFormat="1" x14ac:dyDescent="0.25">
      <c r="A204" s="36">
        <v>110</v>
      </c>
      <c r="B204" s="51"/>
      <c r="C204" s="155" t="s">
        <v>458</v>
      </c>
      <c r="D204" s="22" t="s">
        <v>186</v>
      </c>
      <c r="E204" s="186"/>
      <c r="F204" s="78"/>
      <c r="G204" s="79"/>
      <c r="H204" s="79"/>
      <c r="I204" s="79"/>
      <c r="J204" s="79"/>
      <c r="K204" s="79"/>
      <c r="L204" s="81"/>
      <c r="M204" s="82"/>
      <c r="N204" s="79"/>
      <c r="O204" s="79"/>
      <c r="P204" s="79"/>
      <c r="Q204" s="79"/>
      <c r="R204" s="80"/>
      <c r="S204" s="80"/>
      <c r="T204" s="105"/>
      <c r="U204" s="105"/>
      <c r="V204" s="81"/>
      <c r="W204" s="81"/>
      <c r="Y204" s="14">
        <f t="shared" si="95"/>
        <v>0</v>
      </c>
      <c r="Z204" s="14">
        <f t="shared" si="96"/>
        <v>0</v>
      </c>
    </row>
    <row r="205" spans="1:26" s="10" customFormat="1" x14ac:dyDescent="0.25">
      <c r="A205" s="30">
        <v>111</v>
      </c>
      <c r="B205" s="45">
        <v>2860876704</v>
      </c>
      <c r="C205" s="16" t="s">
        <v>31</v>
      </c>
      <c r="D205" s="151" t="s">
        <v>367</v>
      </c>
      <c r="E205" s="185" t="s">
        <v>210</v>
      </c>
      <c r="F205" s="63">
        <v>15</v>
      </c>
      <c r="G205" s="72">
        <v>312.26</v>
      </c>
      <c r="H205" s="72">
        <f t="shared" si="98"/>
        <v>4683.8999999999996</v>
      </c>
      <c r="I205" s="60">
        <v>400</v>
      </c>
      <c r="J205" s="60"/>
      <c r="K205" s="72">
        <f>VLOOKUP($H$90,Tabisr,1)</f>
        <v>5081.01</v>
      </c>
      <c r="L205" s="68">
        <f t="shared" si="92"/>
        <v>-397.11000000000058</v>
      </c>
      <c r="M205" s="73">
        <f>VLOOKUP($H$90,Tabisr,4)</f>
        <v>0.21360000000000001</v>
      </c>
      <c r="N205" s="64">
        <f>(H205-4244.01)*17.92%</f>
        <v>78.828287999999901</v>
      </c>
      <c r="O205" s="72">
        <v>388.05</v>
      </c>
      <c r="P205" s="64">
        <f t="shared" si="97"/>
        <v>466.87828799999988</v>
      </c>
      <c r="Q205" s="107"/>
      <c r="R205" s="107"/>
      <c r="S205" s="107"/>
      <c r="T205" s="107"/>
      <c r="U205" s="107"/>
      <c r="V205" s="68">
        <f>H205+I205+J205-P205+Q205-R205-S205-T205-U205</f>
        <v>4617.0217119999998</v>
      </c>
      <c r="W205" s="66">
        <f>V205-I205</f>
        <v>4217.0217119999998</v>
      </c>
      <c r="Y205" s="14">
        <f t="shared" si="95"/>
        <v>4617.0217119999998</v>
      </c>
      <c r="Z205" s="14">
        <f t="shared" si="96"/>
        <v>4217.0217119999998</v>
      </c>
    </row>
    <row r="206" spans="1:26" s="10" customFormat="1" x14ac:dyDescent="0.25">
      <c r="A206" s="30">
        <v>112</v>
      </c>
      <c r="B206" s="45">
        <v>1585781917</v>
      </c>
      <c r="C206" s="16" t="s">
        <v>40</v>
      </c>
      <c r="D206" s="18" t="s">
        <v>409</v>
      </c>
      <c r="E206" s="18" t="s">
        <v>113</v>
      </c>
      <c r="F206" s="63">
        <v>15</v>
      </c>
      <c r="G206" s="87">
        <v>263.56</v>
      </c>
      <c r="H206" s="72">
        <f t="shared" si="98"/>
        <v>3953.4</v>
      </c>
      <c r="I206" s="72">
        <v>400</v>
      </c>
      <c r="J206" s="30"/>
      <c r="K206" s="72">
        <f>VLOOKUP($H$28,Tabisr,1)</f>
        <v>3651.01</v>
      </c>
      <c r="L206" s="68">
        <f t="shared" si="92"/>
        <v>302.38999999999987</v>
      </c>
      <c r="M206" s="73">
        <f>VLOOKUP($H$28,Tabisr,4)</f>
        <v>0.16</v>
      </c>
      <c r="N206" s="72">
        <f>(H206-3651.01)*16%</f>
        <v>48.382399999999983</v>
      </c>
      <c r="O206" s="72">
        <v>293.25</v>
      </c>
      <c r="P206" s="72">
        <f t="shared" si="97"/>
        <v>341.63239999999996</v>
      </c>
      <c r="Q206" s="72">
        <v>0</v>
      </c>
      <c r="R206" s="72"/>
      <c r="S206" s="72"/>
      <c r="T206" s="72"/>
      <c r="U206" s="72">
        <v>500</v>
      </c>
      <c r="V206" s="68">
        <f>H206+I206+J206-P206+Q206-R206-S206-T206-U206</f>
        <v>3511.7675999999997</v>
      </c>
      <c r="W206" s="68">
        <f>V206-I206</f>
        <v>3111.7675999999997</v>
      </c>
      <c r="Y206" s="14">
        <f t="shared" si="95"/>
        <v>3511.7675999999997</v>
      </c>
      <c r="Z206" s="14">
        <f t="shared" si="96"/>
        <v>3111.7675999999997</v>
      </c>
    </row>
    <row r="207" spans="1:26" s="10" customFormat="1" x14ac:dyDescent="0.25">
      <c r="A207" s="30">
        <v>113</v>
      </c>
      <c r="B207" s="45">
        <v>1585781925</v>
      </c>
      <c r="C207" s="16" t="s">
        <v>42</v>
      </c>
      <c r="D207" s="152" t="s">
        <v>366</v>
      </c>
      <c r="E207" s="152" t="s">
        <v>115</v>
      </c>
      <c r="F207" s="63">
        <v>15</v>
      </c>
      <c r="G207" s="64">
        <v>263.56</v>
      </c>
      <c r="H207" s="64">
        <f t="shared" si="98"/>
        <v>3953.4</v>
      </c>
      <c r="I207" s="64">
        <v>400</v>
      </c>
      <c r="J207" s="72"/>
      <c r="K207" s="64">
        <f>VLOOKUP($H$207,Tabisr,1)</f>
        <v>3651.01</v>
      </c>
      <c r="L207" s="66">
        <f t="shared" si="92"/>
        <v>302.38999999999987</v>
      </c>
      <c r="M207" s="67">
        <f>VLOOKUP($H$207,Tabisr,4)</f>
        <v>0.16</v>
      </c>
      <c r="N207" s="64">
        <f>(H207-3651.01)*16%</f>
        <v>48.382399999999983</v>
      </c>
      <c r="O207" s="64">
        <v>293.25</v>
      </c>
      <c r="P207" s="64">
        <f t="shared" si="97"/>
        <v>341.63239999999996</v>
      </c>
      <c r="Q207" s="64">
        <f>VLOOKUP($H$207,Tabsub,3)</f>
        <v>0</v>
      </c>
      <c r="R207" s="64"/>
      <c r="S207" s="64"/>
      <c r="T207" s="64"/>
      <c r="U207" s="64"/>
      <c r="V207" s="68">
        <f>H207+I207+J207-P207+Q207-R207-S207-T207-U207</f>
        <v>4011.7675999999997</v>
      </c>
      <c r="W207" s="66">
        <f>V207-I207</f>
        <v>3611.7675999999997</v>
      </c>
      <c r="Y207" s="14">
        <f t="shared" si="95"/>
        <v>4011.7675999999997</v>
      </c>
      <c r="Z207" s="14">
        <f t="shared" si="96"/>
        <v>3611.7675999999997</v>
      </c>
    </row>
    <row r="208" spans="1:26" s="12" customFormat="1" x14ac:dyDescent="0.25">
      <c r="A208" s="30">
        <v>114</v>
      </c>
      <c r="B208" s="45">
        <v>1532115859</v>
      </c>
      <c r="C208" s="16" t="s">
        <v>335</v>
      </c>
      <c r="D208" s="18" t="s">
        <v>183</v>
      </c>
      <c r="E208" s="18" t="s">
        <v>274</v>
      </c>
      <c r="F208" s="63">
        <v>15</v>
      </c>
      <c r="G208" s="72">
        <v>263.56</v>
      </c>
      <c r="H208" s="72">
        <f t="shared" si="98"/>
        <v>3953.4</v>
      </c>
      <c r="I208" s="72">
        <v>400</v>
      </c>
      <c r="J208" s="72"/>
      <c r="K208" s="72">
        <f>VLOOKUP($H$207,Tabisr,1)</f>
        <v>3651.01</v>
      </c>
      <c r="L208" s="68">
        <f t="shared" si="92"/>
        <v>302.38999999999987</v>
      </c>
      <c r="M208" s="73">
        <f>VLOOKUP($H$207,Tabisr,4)</f>
        <v>0.16</v>
      </c>
      <c r="N208" s="72">
        <f>(H208-3651.01)*16%</f>
        <v>48.382399999999983</v>
      </c>
      <c r="O208" s="72">
        <v>293.25</v>
      </c>
      <c r="P208" s="72">
        <f t="shared" si="97"/>
        <v>341.63239999999996</v>
      </c>
      <c r="Q208" s="72">
        <f>VLOOKUP($H$207,Tabsub,3)</f>
        <v>0</v>
      </c>
      <c r="R208" s="72"/>
      <c r="S208" s="72">
        <v>1264</v>
      </c>
      <c r="T208" s="72"/>
      <c r="U208" s="72"/>
      <c r="V208" s="68">
        <f>H208+I208+J208-P208+Q208-R208-S208-T208-U208</f>
        <v>2747.7675999999997</v>
      </c>
      <c r="W208" s="68">
        <f>V208-I208</f>
        <v>2347.7675999999997</v>
      </c>
      <c r="Y208" s="14">
        <f t="shared" si="95"/>
        <v>2747.7675999999997</v>
      </c>
      <c r="Z208" s="14">
        <f t="shared" si="96"/>
        <v>2347.7675999999997</v>
      </c>
    </row>
    <row r="209" spans="1:26" s="10" customFormat="1" x14ac:dyDescent="0.25">
      <c r="A209" s="30">
        <v>115</v>
      </c>
      <c r="B209" s="45">
        <v>1585781933</v>
      </c>
      <c r="C209" s="16" t="s">
        <v>245</v>
      </c>
      <c r="D209" s="152" t="s">
        <v>187</v>
      </c>
      <c r="E209" s="152" t="s">
        <v>98</v>
      </c>
      <c r="F209" s="63">
        <v>15</v>
      </c>
      <c r="G209" s="64">
        <v>414.83</v>
      </c>
      <c r="H209" s="64">
        <f t="shared" si="98"/>
        <v>6222.45</v>
      </c>
      <c r="I209" s="64">
        <v>400</v>
      </c>
      <c r="J209" s="64"/>
      <c r="K209" s="64">
        <f>VLOOKUP($H$209,Tabisr,1)</f>
        <v>5081.01</v>
      </c>
      <c r="L209" s="66">
        <f t="shared" si="92"/>
        <v>1141.4399999999996</v>
      </c>
      <c r="M209" s="67">
        <f>VLOOKUP($H$209,Tabisr,4)</f>
        <v>0.21360000000000001</v>
      </c>
      <c r="N209" s="64">
        <f>+L209*M209</f>
        <v>243.81158399999993</v>
      </c>
      <c r="O209" s="64">
        <f>VLOOKUP($H$209,Tabisr,3)</f>
        <v>538.20000000000005</v>
      </c>
      <c r="P209" s="64">
        <f>+N209+O209</f>
        <v>782.01158399999997</v>
      </c>
      <c r="Q209" s="64">
        <f>VLOOKUP($H$209,Tabsub,3)</f>
        <v>0</v>
      </c>
      <c r="R209" s="65"/>
      <c r="S209" s="65"/>
      <c r="T209" s="65"/>
      <c r="U209" s="65"/>
      <c r="V209" s="68">
        <f>H209+I209+J209-P209+Q209-R209-S209-T209-U209</f>
        <v>5840.438416</v>
      </c>
      <c r="W209" s="66">
        <f>V209-I209</f>
        <v>5440.438416</v>
      </c>
      <c r="Y209" s="14">
        <f t="shared" si="95"/>
        <v>5840.438416</v>
      </c>
      <c r="Z209" s="14">
        <f t="shared" si="96"/>
        <v>5440.438416</v>
      </c>
    </row>
    <row r="210" spans="1:26" s="10" customFormat="1" x14ac:dyDescent="0.25">
      <c r="A210" s="32"/>
      <c r="B210" s="50"/>
      <c r="C210" s="159"/>
      <c r="D210" s="160"/>
      <c r="E210" s="213"/>
      <c r="F210" s="84"/>
      <c r="G210" s="84"/>
      <c r="H210" s="85">
        <f>+SUM(H194:H209)</f>
        <v>79923.45</v>
      </c>
      <c r="I210" s="193">
        <f>+SUM(I194:I209)</f>
        <v>5600</v>
      </c>
      <c r="J210" s="193">
        <f t="shared" ref="J210:W210" si="99">+SUM(J194:J209)</f>
        <v>0</v>
      </c>
      <c r="K210" s="193">
        <f t="shared" si="99"/>
        <v>67635.150000000023</v>
      </c>
      <c r="L210" s="193">
        <f t="shared" si="99"/>
        <v>12288.299999999996</v>
      </c>
      <c r="M210" s="193">
        <f t="shared" si="99"/>
        <v>2.8824000000000005</v>
      </c>
      <c r="N210" s="193">
        <f t="shared" si="99"/>
        <v>2614.8747455999996</v>
      </c>
      <c r="O210" s="193">
        <f t="shared" si="99"/>
        <v>6453.15</v>
      </c>
      <c r="P210" s="193">
        <f t="shared" si="99"/>
        <v>9068.0247456000016</v>
      </c>
      <c r="Q210" s="193">
        <f t="shared" si="99"/>
        <v>0</v>
      </c>
      <c r="R210" s="193">
        <f t="shared" si="99"/>
        <v>1050</v>
      </c>
      <c r="S210" s="193">
        <f t="shared" si="99"/>
        <v>1264</v>
      </c>
      <c r="T210" s="193">
        <f t="shared" si="99"/>
        <v>20</v>
      </c>
      <c r="U210" s="193">
        <f t="shared" si="99"/>
        <v>500</v>
      </c>
      <c r="V210" s="193">
        <f t="shared" si="99"/>
        <v>73621.425254400019</v>
      </c>
      <c r="W210" s="193">
        <f t="shared" si="99"/>
        <v>68021.425254400005</v>
      </c>
      <c r="Y210" s="15">
        <f t="shared" si="95"/>
        <v>73621.42525439999</v>
      </c>
      <c r="Z210" s="15">
        <f t="shared" si="96"/>
        <v>68021.425254400019</v>
      </c>
    </row>
    <row r="211" spans="1:26" s="10" customFormat="1" x14ac:dyDescent="0.25">
      <c r="A211" s="32"/>
      <c r="B211" s="50"/>
      <c r="C211" s="159"/>
      <c r="D211" s="160"/>
      <c r="E211" s="213"/>
      <c r="F211" s="84"/>
      <c r="G211" s="84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Y211" s="15"/>
      <c r="Z211" s="15"/>
    </row>
    <row r="212" spans="1:26" s="10" customFormat="1" x14ac:dyDescent="0.25">
      <c r="A212" s="32"/>
      <c r="B212" s="50"/>
      <c r="C212" s="159"/>
      <c r="D212" s="160"/>
      <c r="E212" s="213"/>
      <c r="F212" s="84"/>
      <c r="G212" s="84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Y212" s="15"/>
      <c r="Z212" s="15"/>
    </row>
    <row r="213" spans="1:26" ht="18.75" customHeight="1" x14ac:dyDescent="0.25">
      <c r="A213" s="278" t="s">
        <v>638</v>
      </c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Y213" s="14"/>
      <c r="Z213" s="14"/>
    </row>
    <row r="214" spans="1:26" ht="33.75" customHeight="1" x14ac:dyDescent="0.25">
      <c r="A214" s="29" t="s">
        <v>69</v>
      </c>
      <c r="B214" s="223" t="s">
        <v>584</v>
      </c>
      <c r="C214" s="29" t="s">
        <v>17</v>
      </c>
      <c r="D214" s="29" t="s">
        <v>161</v>
      </c>
      <c r="E214" s="29" t="s">
        <v>143</v>
      </c>
      <c r="F214" s="29" t="s">
        <v>27</v>
      </c>
      <c r="G214" s="29" t="s">
        <v>19</v>
      </c>
      <c r="H214" s="29" t="s">
        <v>18</v>
      </c>
      <c r="I214" s="29" t="s">
        <v>66</v>
      </c>
      <c r="J214" s="29" t="s">
        <v>74</v>
      </c>
      <c r="K214" s="47" t="s">
        <v>301</v>
      </c>
      <c r="L214" s="47" t="s">
        <v>302</v>
      </c>
      <c r="M214" s="47" t="s">
        <v>303</v>
      </c>
      <c r="N214" s="47" t="s">
        <v>304</v>
      </c>
      <c r="O214" s="29" t="s">
        <v>305</v>
      </c>
      <c r="P214" s="29" t="s">
        <v>67</v>
      </c>
      <c r="Q214" s="29" t="s">
        <v>68</v>
      </c>
      <c r="R214" s="29" t="s">
        <v>20</v>
      </c>
      <c r="S214" s="29" t="s">
        <v>452</v>
      </c>
      <c r="T214" s="29" t="s">
        <v>72</v>
      </c>
      <c r="U214" s="29" t="s">
        <v>157</v>
      </c>
      <c r="V214" s="29" t="s">
        <v>155</v>
      </c>
      <c r="W214" s="29" t="s">
        <v>156</v>
      </c>
      <c r="Y214" s="14"/>
      <c r="Z214" s="14"/>
    </row>
    <row r="215" spans="1:26" ht="33.75" x14ac:dyDescent="0.25">
      <c r="A215" s="30">
        <v>116</v>
      </c>
      <c r="B215" s="154">
        <v>1503691551</v>
      </c>
      <c r="C215" s="16" t="s">
        <v>24</v>
      </c>
      <c r="D215" s="16" t="s">
        <v>640</v>
      </c>
      <c r="E215" s="18" t="s">
        <v>90</v>
      </c>
      <c r="F215" s="63">
        <v>15</v>
      </c>
      <c r="G215" s="72">
        <v>661.33</v>
      </c>
      <c r="H215" s="72">
        <f>F215*G215</f>
        <v>9919.9500000000007</v>
      </c>
      <c r="I215" s="72"/>
      <c r="J215" s="72"/>
      <c r="K215" s="72">
        <f>VLOOKUP($H$215,Tabisr,1)</f>
        <v>5081.01</v>
      </c>
      <c r="L215" s="68">
        <f>+H215-K215</f>
        <v>4838.9400000000005</v>
      </c>
      <c r="M215" s="73">
        <f>VLOOKUP($H$215,Tabisr,4)</f>
        <v>0.21360000000000001</v>
      </c>
      <c r="N215" s="72">
        <f>(H215-5081.01)*21.36%</f>
        <v>1033.5975840000001</v>
      </c>
      <c r="O215" s="72">
        <v>538.20000000000005</v>
      </c>
      <c r="P215" s="72">
        <f>N215+O215</f>
        <v>1571.7975840000001</v>
      </c>
      <c r="Q215" s="72">
        <f>VLOOKUP($H$215,Tabsub,3)</f>
        <v>0</v>
      </c>
      <c r="R215" s="72"/>
      <c r="S215" s="72">
        <v>1890</v>
      </c>
      <c r="T215" s="72"/>
      <c r="U215" s="72">
        <v>500</v>
      </c>
      <c r="V215" s="68">
        <f t="shared" ref="V215:V220" si="100">H215+I215+J215-P215+Q215-R215-S215-T215-U215</f>
        <v>5958.1524160000008</v>
      </c>
      <c r="W215" s="68">
        <f t="shared" ref="W215:W220" si="101">V215-I215</f>
        <v>5958.1524160000008</v>
      </c>
      <c r="Y215" s="14">
        <f t="shared" ref="Y215:Y221" si="102">+H215+I215+J215+Q215-P215-R215-S215-T215-U215</f>
        <v>5958.1524160000008</v>
      </c>
      <c r="Z215" s="14">
        <f t="shared" ref="Z215:Z221" si="103">+V215-I215</f>
        <v>5958.1524160000008</v>
      </c>
    </row>
    <row r="216" spans="1:26" ht="27" x14ac:dyDescent="0.25">
      <c r="A216" s="30">
        <v>117</v>
      </c>
      <c r="B216" s="45">
        <v>469028900</v>
      </c>
      <c r="C216" s="16" t="s">
        <v>490</v>
      </c>
      <c r="D216" s="158" t="s">
        <v>639</v>
      </c>
      <c r="E216" s="18" t="s">
        <v>491</v>
      </c>
      <c r="F216" s="63">
        <v>15</v>
      </c>
      <c r="G216" s="72">
        <v>414.83</v>
      </c>
      <c r="H216" s="72">
        <f>F216*G216</f>
        <v>6222.45</v>
      </c>
      <c r="I216" s="72">
        <v>400</v>
      </c>
      <c r="J216" s="30"/>
      <c r="K216" s="72">
        <f>VLOOKUP($H$209,Tabisr,1)</f>
        <v>5081.01</v>
      </c>
      <c r="L216" s="68">
        <f>+H216-K216</f>
        <v>1141.4399999999996</v>
      </c>
      <c r="M216" s="73">
        <f>VLOOKUP($H$209,Tabisr,4)</f>
        <v>0.21360000000000001</v>
      </c>
      <c r="N216" s="72">
        <f>+L216*M216</f>
        <v>243.81158399999993</v>
      </c>
      <c r="O216" s="72">
        <f>VLOOKUP($H$209,Tabisr,3)</f>
        <v>538.20000000000005</v>
      </c>
      <c r="P216" s="60">
        <f>+N216+O216</f>
        <v>782.01158399999997</v>
      </c>
      <c r="Q216" s="72"/>
      <c r="R216" s="72">
        <v>1600</v>
      </c>
      <c r="S216" s="72"/>
      <c r="T216" s="72"/>
      <c r="U216" s="72"/>
      <c r="V216" s="68">
        <f t="shared" si="100"/>
        <v>4240.438416</v>
      </c>
      <c r="W216" s="68">
        <f t="shared" si="101"/>
        <v>3840.438416</v>
      </c>
      <c r="Y216" s="14">
        <f t="shared" si="102"/>
        <v>4240.438416</v>
      </c>
      <c r="Z216" s="14">
        <f t="shared" si="103"/>
        <v>3840.438416</v>
      </c>
    </row>
    <row r="217" spans="1:26" ht="21" customHeight="1" x14ac:dyDescent="0.25">
      <c r="A217" s="30">
        <v>118</v>
      </c>
      <c r="B217" s="154">
        <v>1422999730</v>
      </c>
      <c r="C217" s="16" t="s">
        <v>557</v>
      </c>
      <c r="D217" s="16" t="s">
        <v>556</v>
      </c>
      <c r="E217" s="18" t="s">
        <v>558</v>
      </c>
      <c r="F217" s="63">
        <v>15</v>
      </c>
      <c r="G217" s="72">
        <v>312.26</v>
      </c>
      <c r="H217" s="72">
        <f>F217*G217</f>
        <v>4683.8999999999996</v>
      </c>
      <c r="I217" s="72">
        <v>400</v>
      </c>
      <c r="J217" s="30"/>
      <c r="K217" s="72">
        <f>VLOOKUP($H$90,Tabisr,1)</f>
        <v>5081.01</v>
      </c>
      <c r="L217" s="68">
        <f>+H217-K217</f>
        <v>-397.11000000000058</v>
      </c>
      <c r="M217" s="73">
        <f>VLOOKUP($H$90,Tabisr,4)</f>
        <v>0.21360000000000001</v>
      </c>
      <c r="N217" s="72">
        <f>(H217-4244.01)*17.92%</f>
        <v>78.828287999999901</v>
      </c>
      <c r="O217" s="72">
        <v>388.05</v>
      </c>
      <c r="P217" s="72">
        <f>N217+O217</f>
        <v>466.87828799999988</v>
      </c>
      <c r="Q217" s="72"/>
      <c r="R217" s="72"/>
      <c r="S217" s="72"/>
      <c r="T217" s="72"/>
      <c r="U217" s="72"/>
      <c r="V217" s="68">
        <f t="shared" si="100"/>
        <v>4617.0217119999998</v>
      </c>
      <c r="W217" s="68">
        <f t="shared" si="101"/>
        <v>4217.0217119999998</v>
      </c>
      <c r="Y217" s="14">
        <f t="shared" si="102"/>
        <v>4617.0217119999998</v>
      </c>
      <c r="Z217" s="14">
        <f t="shared" si="103"/>
        <v>4217.0217119999998</v>
      </c>
    </row>
    <row r="218" spans="1:26" ht="22.5" x14ac:dyDescent="0.25">
      <c r="A218" s="30">
        <v>245</v>
      </c>
      <c r="B218" s="154">
        <v>1501513920</v>
      </c>
      <c r="C218" s="16" t="s">
        <v>660</v>
      </c>
      <c r="D218" s="16" t="s">
        <v>658</v>
      </c>
      <c r="E218" s="18" t="s">
        <v>659</v>
      </c>
      <c r="F218" s="63">
        <v>15</v>
      </c>
      <c r="G218" s="72">
        <v>414.83</v>
      </c>
      <c r="H218" s="72">
        <f>F218*G218</f>
        <v>6222.45</v>
      </c>
      <c r="I218" s="72">
        <v>400</v>
      </c>
      <c r="J218" s="30"/>
      <c r="K218" s="72">
        <f>VLOOKUP($H$209,Tabisr,1)</f>
        <v>5081.01</v>
      </c>
      <c r="L218" s="68">
        <f>+H218-K218</f>
        <v>1141.4399999999996</v>
      </c>
      <c r="M218" s="73">
        <f>VLOOKUP($H$209,Tabisr,4)</f>
        <v>0.21360000000000001</v>
      </c>
      <c r="N218" s="72">
        <f>+L218*M218</f>
        <v>243.81158399999993</v>
      </c>
      <c r="O218" s="72">
        <f>VLOOKUP($H$209,Tabisr,3)</f>
        <v>538.20000000000005</v>
      </c>
      <c r="P218" s="60">
        <f>+N218+O218</f>
        <v>782.01158399999997</v>
      </c>
      <c r="Q218" s="72"/>
      <c r="R218" s="72"/>
      <c r="S218" s="72"/>
      <c r="T218" s="72"/>
      <c r="U218" s="72"/>
      <c r="V218" s="68">
        <f t="shared" ref="V218" si="104">H218+I218+J218-P218+Q218-R218-S218-T218-U218</f>
        <v>5840.438416</v>
      </c>
      <c r="W218" s="68">
        <f t="shared" ref="W218" si="105">V218-I218</f>
        <v>5440.438416</v>
      </c>
      <c r="Y218" s="14">
        <f t="shared" ref="Y218:Y219" si="106">+H218+I218+J218+Q218-P218-R218-S218-T218-U218</f>
        <v>5840.438416</v>
      </c>
      <c r="Z218" s="14">
        <f t="shared" ref="Z218:Z219" si="107">+V218-I218</f>
        <v>5440.438416</v>
      </c>
    </row>
    <row r="219" spans="1:26" x14ac:dyDescent="0.25">
      <c r="A219" s="36">
        <v>119</v>
      </c>
      <c r="B219" s="51"/>
      <c r="C219" s="155" t="s">
        <v>458</v>
      </c>
      <c r="D219" s="22" t="s">
        <v>163</v>
      </c>
      <c r="E219" s="22"/>
      <c r="F219" s="78"/>
      <c r="G219" s="79"/>
      <c r="H219" s="79"/>
      <c r="I219" s="79"/>
      <c r="J219" s="108"/>
      <c r="K219" s="79"/>
      <c r="L219" s="81"/>
      <c r="M219" s="82"/>
      <c r="N219" s="79"/>
      <c r="O219" s="79"/>
      <c r="P219" s="79"/>
      <c r="Q219" s="79"/>
      <c r="R219" s="79"/>
      <c r="S219" s="79"/>
      <c r="T219" s="79"/>
      <c r="U219" s="79"/>
      <c r="V219" s="81">
        <f t="shared" si="100"/>
        <v>0</v>
      </c>
      <c r="W219" s="81">
        <f t="shared" si="101"/>
        <v>0</v>
      </c>
      <c r="Y219" s="14">
        <f t="shared" si="106"/>
        <v>0</v>
      </c>
      <c r="Z219" s="14">
        <f t="shared" si="107"/>
        <v>0</v>
      </c>
    </row>
    <row r="220" spans="1:26" s="10" customFormat="1" x14ac:dyDescent="0.25">
      <c r="A220" s="30">
        <v>120</v>
      </c>
      <c r="B220" s="45">
        <v>1585781984</v>
      </c>
      <c r="C220" s="151" t="s">
        <v>270</v>
      </c>
      <c r="D220" s="151" t="s">
        <v>166</v>
      </c>
      <c r="E220" s="152" t="s">
        <v>271</v>
      </c>
      <c r="F220" s="86">
        <v>6</v>
      </c>
      <c r="G220" s="64">
        <v>220.57</v>
      </c>
      <c r="H220" s="64">
        <f>F220*G220</f>
        <v>1323.42</v>
      </c>
      <c r="I220" s="64">
        <v>400</v>
      </c>
      <c r="J220" s="64"/>
      <c r="K220" s="64">
        <f>VLOOKUP($H$188,Tabisr,1)</f>
        <v>2077.5100000000002</v>
      </c>
      <c r="L220" s="66">
        <f>+H220-K220</f>
        <v>-754.09000000000015</v>
      </c>
      <c r="M220" s="67">
        <f>VLOOKUP($H$188,Tabisr,4)</f>
        <v>0.10879999999999999</v>
      </c>
      <c r="N220" s="64">
        <f>(H220-2077.51)*10.88%</f>
        <v>-82.044992000000022</v>
      </c>
      <c r="O220" s="64">
        <v>121.95</v>
      </c>
      <c r="P220" s="64">
        <f>N220+O220</f>
        <v>39.905007999999981</v>
      </c>
      <c r="Q220" s="64">
        <f>VLOOKUP($H$182,Tabsub,3)</f>
        <v>125.1</v>
      </c>
      <c r="R220" s="64">
        <v>350</v>
      </c>
      <c r="S220" s="64"/>
      <c r="T220" s="64"/>
      <c r="U220" s="64"/>
      <c r="V220" s="68">
        <f t="shared" si="100"/>
        <v>1458.614992</v>
      </c>
      <c r="W220" s="66">
        <f t="shared" si="101"/>
        <v>1058.614992</v>
      </c>
      <c r="Y220" s="14">
        <f t="shared" si="102"/>
        <v>1458.614992</v>
      </c>
      <c r="Z220" s="14">
        <f t="shared" si="103"/>
        <v>1058.614992</v>
      </c>
    </row>
    <row r="221" spans="1:26" s="10" customFormat="1" x14ac:dyDescent="0.25">
      <c r="A221" s="36"/>
      <c r="B221" s="51"/>
      <c r="C221" s="155" t="s">
        <v>458</v>
      </c>
      <c r="D221" s="155" t="s">
        <v>170</v>
      </c>
      <c r="E221" s="22"/>
      <c r="F221" s="78"/>
      <c r="G221" s="79"/>
      <c r="H221" s="79"/>
      <c r="I221" s="79"/>
      <c r="J221" s="79"/>
      <c r="K221" s="79"/>
      <c r="L221" s="81"/>
      <c r="M221" s="82"/>
      <c r="N221" s="79"/>
      <c r="O221" s="79"/>
      <c r="P221" s="79"/>
      <c r="Q221" s="79"/>
      <c r="R221" s="79"/>
      <c r="S221" s="79"/>
      <c r="T221" s="79"/>
      <c r="U221" s="79"/>
      <c r="V221" s="81"/>
      <c r="W221" s="81"/>
      <c r="Y221" s="14">
        <f t="shared" si="102"/>
        <v>0</v>
      </c>
      <c r="Z221" s="14">
        <f t="shared" si="103"/>
        <v>0</v>
      </c>
    </row>
    <row r="222" spans="1:26" s="10" customFormat="1" x14ac:dyDescent="0.25">
      <c r="A222" s="32"/>
      <c r="B222" s="50"/>
      <c r="C222" s="153"/>
      <c r="D222" s="153"/>
      <c r="E222" s="26"/>
      <c r="F222" s="69"/>
      <c r="G222" s="70"/>
      <c r="H222" s="76">
        <f>+SUM(H215:H221)</f>
        <v>28372.170000000006</v>
      </c>
      <c r="I222" s="76">
        <f>+SUM(I215:I221)</f>
        <v>1600</v>
      </c>
      <c r="J222" s="76">
        <f t="shared" ref="J222:W222" si="108">+SUM(J215:J221)</f>
        <v>0</v>
      </c>
      <c r="K222" s="76">
        <f t="shared" si="108"/>
        <v>22401.550000000003</v>
      </c>
      <c r="L222" s="76">
        <f t="shared" si="108"/>
        <v>5970.619999999999</v>
      </c>
      <c r="M222" s="76">
        <f t="shared" si="108"/>
        <v>0.96320000000000006</v>
      </c>
      <c r="N222" s="76">
        <f t="shared" si="108"/>
        <v>1518.0040479999998</v>
      </c>
      <c r="O222" s="76">
        <f t="shared" si="108"/>
        <v>2124.6</v>
      </c>
      <c r="P222" s="76">
        <f t="shared" si="108"/>
        <v>3642.6040480000001</v>
      </c>
      <c r="Q222" s="76">
        <f t="shared" si="108"/>
        <v>125.1</v>
      </c>
      <c r="R222" s="76">
        <f t="shared" si="108"/>
        <v>1950</v>
      </c>
      <c r="S222" s="76">
        <f t="shared" si="108"/>
        <v>1890</v>
      </c>
      <c r="T222" s="76">
        <f t="shared" si="108"/>
        <v>0</v>
      </c>
      <c r="U222" s="76">
        <f t="shared" si="108"/>
        <v>500</v>
      </c>
      <c r="V222" s="76">
        <f t="shared" si="108"/>
        <v>22114.665951999999</v>
      </c>
      <c r="W222" s="76">
        <f t="shared" si="108"/>
        <v>20514.665951999999</v>
      </c>
      <c r="Y222" s="15">
        <f>+H222+I222+J222+Q222-P222-R222-S222-T222-U222</f>
        <v>22114.665952000003</v>
      </c>
      <c r="Z222" s="15">
        <f>+V222-I222</f>
        <v>20514.665951999999</v>
      </c>
    </row>
    <row r="223" spans="1:26" s="10" customFormat="1" x14ac:dyDescent="0.25">
      <c r="A223" s="32"/>
      <c r="B223" s="50"/>
      <c r="C223" s="153"/>
      <c r="D223" s="153"/>
      <c r="E223" s="26"/>
      <c r="F223" s="69"/>
      <c r="G223" s="70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Y223" s="14"/>
      <c r="Z223" s="14"/>
    </row>
    <row r="224" spans="1:26" s="10" customFormat="1" x14ac:dyDescent="0.25">
      <c r="A224" s="32"/>
      <c r="B224" s="50"/>
      <c r="C224" s="159"/>
      <c r="D224" s="160"/>
      <c r="E224" s="213"/>
      <c r="F224" s="84"/>
      <c r="G224" s="84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Y224" s="14"/>
      <c r="Z224" s="14"/>
    </row>
    <row r="225" spans="1:26" s="10" customFormat="1" ht="18.75" x14ac:dyDescent="0.25">
      <c r="A225" s="266" t="s">
        <v>398</v>
      </c>
      <c r="B225" s="266"/>
      <c r="C225" s="266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Y225" s="14"/>
      <c r="Z225" s="14"/>
    </row>
    <row r="226" spans="1:26" s="10" customFormat="1" ht="34.5" customHeight="1" x14ac:dyDescent="0.25">
      <c r="A226" s="29" t="s">
        <v>69</v>
      </c>
      <c r="B226" s="223" t="s">
        <v>584</v>
      </c>
      <c r="C226" s="29" t="s">
        <v>17</v>
      </c>
      <c r="D226" s="29" t="s">
        <v>161</v>
      </c>
      <c r="E226" s="29" t="s">
        <v>143</v>
      </c>
      <c r="F226" s="29" t="s">
        <v>27</v>
      </c>
      <c r="G226" s="29" t="s">
        <v>19</v>
      </c>
      <c r="H226" s="29" t="s">
        <v>18</v>
      </c>
      <c r="I226" s="29" t="s">
        <v>66</v>
      </c>
      <c r="J226" s="29" t="s">
        <v>74</v>
      </c>
      <c r="K226" s="47" t="s">
        <v>301</v>
      </c>
      <c r="L226" s="47" t="s">
        <v>302</v>
      </c>
      <c r="M226" s="47" t="s">
        <v>303</v>
      </c>
      <c r="N226" s="47" t="s">
        <v>304</v>
      </c>
      <c r="O226" s="29" t="s">
        <v>305</v>
      </c>
      <c r="P226" s="29" t="s">
        <v>67</v>
      </c>
      <c r="Q226" s="29" t="s">
        <v>68</v>
      </c>
      <c r="R226" s="29" t="s">
        <v>20</v>
      </c>
      <c r="S226" s="29" t="s">
        <v>452</v>
      </c>
      <c r="T226" s="29" t="s">
        <v>72</v>
      </c>
      <c r="U226" s="29" t="s">
        <v>157</v>
      </c>
      <c r="V226" s="29" t="s">
        <v>155</v>
      </c>
      <c r="W226" s="29" t="s">
        <v>156</v>
      </c>
      <c r="Y226" s="14"/>
      <c r="Z226" s="14"/>
    </row>
    <row r="227" spans="1:26" s="10" customFormat="1" ht="22.5" x14ac:dyDescent="0.25">
      <c r="A227" s="30">
        <v>122</v>
      </c>
      <c r="B227" s="45">
        <v>1586251555</v>
      </c>
      <c r="C227" s="16" t="s">
        <v>14</v>
      </c>
      <c r="D227" s="16" t="s">
        <v>373</v>
      </c>
      <c r="E227" s="18" t="s">
        <v>92</v>
      </c>
      <c r="F227" s="63">
        <v>15</v>
      </c>
      <c r="G227" s="72">
        <v>661.33</v>
      </c>
      <c r="H227" s="72">
        <f>F227*G227</f>
        <v>9919.9500000000007</v>
      </c>
      <c r="I227" s="72"/>
      <c r="J227" s="72"/>
      <c r="K227" s="72">
        <f>VLOOKUP($H$215,Tabisr,1)</f>
        <v>5081.01</v>
      </c>
      <c r="L227" s="68">
        <f>+H227-K227</f>
        <v>4838.9400000000005</v>
      </c>
      <c r="M227" s="73">
        <f>VLOOKUP($H$215,Tabisr,4)</f>
        <v>0.21360000000000001</v>
      </c>
      <c r="N227" s="72">
        <f>(H227-5081.01)*21.36%</f>
        <v>1033.5975840000001</v>
      </c>
      <c r="O227" s="72">
        <v>538.20000000000005</v>
      </c>
      <c r="P227" s="72">
        <v>1571.8</v>
      </c>
      <c r="Q227" s="72">
        <f>VLOOKUP($H$215,Tabsub,3)</f>
        <v>0</v>
      </c>
      <c r="R227" s="72"/>
      <c r="S227" s="72"/>
      <c r="T227" s="72"/>
      <c r="U227" s="72"/>
      <c r="V227" s="68">
        <f>H227+I227+J227-P227+Q227-R227-S227-T227-U227</f>
        <v>8348.1500000000015</v>
      </c>
      <c r="W227" s="68">
        <f>V227-I227</f>
        <v>8348.1500000000015</v>
      </c>
      <c r="Y227" s="14">
        <f>+H227+I227+J227+Q227-P227-R227-S227-T227-U227</f>
        <v>8348.1500000000015</v>
      </c>
      <c r="Z227" s="14">
        <f>+V227-I227</f>
        <v>8348.1500000000015</v>
      </c>
    </row>
    <row r="228" spans="1:26" s="10" customFormat="1" x14ac:dyDescent="0.25">
      <c r="A228" s="32"/>
      <c r="B228" s="50"/>
      <c r="C228" s="159"/>
      <c r="D228" s="160"/>
      <c r="E228" s="213"/>
      <c r="F228" s="84"/>
      <c r="G228" s="84"/>
      <c r="H228" s="85">
        <f>+H227</f>
        <v>9919.9500000000007</v>
      </c>
      <c r="I228" s="85">
        <f t="shared" ref="I228:W228" si="109">+I227</f>
        <v>0</v>
      </c>
      <c r="J228" s="85">
        <f t="shared" si="109"/>
        <v>0</v>
      </c>
      <c r="K228" s="85">
        <f t="shared" si="109"/>
        <v>5081.01</v>
      </c>
      <c r="L228" s="85">
        <f t="shared" si="109"/>
        <v>4838.9400000000005</v>
      </c>
      <c r="M228" s="85">
        <f t="shared" si="109"/>
        <v>0.21360000000000001</v>
      </c>
      <c r="N228" s="85">
        <f t="shared" si="109"/>
        <v>1033.5975840000001</v>
      </c>
      <c r="O228" s="85">
        <f t="shared" si="109"/>
        <v>538.20000000000005</v>
      </c>
      <c r="P228" s="85">
        <f t="shared" si="109"/>
        <v>1571.8</v>
      </c>
      <c r="Q228" s="85">
        <f t="shared" si="109"/>
        <v>0</v>
      </c>
      <c r="R228" s="85">
        <f t="shared" si="109"/>
        <v>0</v>
      </c>
      <c r="S228" s="85">
        <f t="shared" si="109"/>
        <v>0</v>
      </c>
      <c r="T228" s="85">
        <f t="shared" si="109"/>
        <v>0</v>
      </c>
      <c r="U228" s="85">
        <f t="shared" si="109"/>
        <v>0</v>
      </c>
      <c r="V228" s="85">
        <f t="shared" si="109"/>
        <v>8348.1500000000015</v>
      </c>
      <c r="W228" s="85">
        <f t="shared" si="109"/>
        <v>8348.1500000000015</v>
      </c>
      <c r="Y228" s="15">
        <f>+Y227</f>
        <v>8348.1500000000015</v>
      </c>
      <c r="Z228" s="15">
        <f>+Z227</f>
        <v>8348.1500000000015</v>
      </c>
    </row>
    <row r="229" spans="1:26" s="10" customFormat="1" x14ac:dyDescent="0.25">
      <c r="A229" s="32"/>
      <c r="B229" s="50"/>
      <c r="C229" s="159"/>
      <c r="D229" s="160"/>
      <c r="E229" s="213"/>
      <c r="F229" s="84"/>
      <c r="G229" s="84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Y229" s="14"/>
      <c r="Z229" s="14"/>
    </row>
    <row r="230" spans="1:26" s="10" customFormat="1" ht="18.75" x14ac:dyDescent="0.25">
      <c r="A230" s="266" t="s">
        <v>506</v>
      </c>
      <c r="B230" s="266"/>
      <c r="C230" s="266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Y230" s="14"/>
      <c r="Z230" s="14"/>
    </row>
    <row r="231" spans="1:26" s="10" customFormat="1" ht="32.25" customHeight="1" x14ac:dyDescent="0.25">
      <c r="A231" s="29" t="s">
        <v>69</v>
      </c>
      <c r="B231" s="223" t="s">
        <v>584</v>
      </c>
      <c r="C231" s="29" t="s">
        <v>17</v>
      </c>
      <c r="D231" s="29" t="s">
        <v>161</v>
      </c>
      <c r="E231" s="29" t="s">
        <v>143</v>
      </c>
      <c r="F231" s="29" t="s">
        <v>27</v>
      </c>
      <c r="G231" s="29" t="s">
        <v>19</v>
      </c>
      <c r="H231" s="29" t="s">
        <v>18</v>
      </c>
      <c r="I231" s="29" t="s">
        <v>66</v>
      </c>
      <c r="J231" s="29" t="s">
        <v>74</v>
      </c>
      <c r="K231" s="47" t="s">
        <v>301</v>
      </c>
      <c r="L231" s="47" t="s">
        <v>302</v>
      </c>
      <c r="M231" s="47" t="s">
        <v>303</v>
      </c>
      <c r="N231" s="47" t="s">
        <v>304</v>
      </c>
      <c r="O231" s="29" t="s">
        <v>305</v>
      </c>
      <c r="P231" s="29" t="s">
        <v>67</v>
      </c>
      <c r="Q231" s="29" t="s">
        <v>68</v>
      </c>
      <c r="R231" s="29" t="s">
        <v>20</v>
      </c>
      <c r="S231" s="29" t="s">
        <v>452</v>
      </c>
      <c r="T231" s="29" t="s">
        <v>72</v>
      </c>
      <c r="U231" s="29" t="s">
        <v>157</v>
      </c>
      <c r="V231" s="29" t="s">
        <v>155</v>
      </c>
      <c r="W231" s="29" t="s">
        <v>156</v>
      </c>
      <c r="Y231" s="14"/>
      <c r="Z231" s="14"/>
    </row>
    <row r="232" spans="1:26" s="10" customFormat="1" x14ac:dyDescent="0.25">
      <c r="A232" s="37">
        <v>123</v>
      </c>
      <c r="B232" s="52"/>
      <c r="C232" s="21" t="s">
        <v>503</v>
      </c>
      <c r="D232" s="21" t="s">
        <v>504</v>
      </c>
      <c r="E232" s="184" t="s">
        <v>505</v>
      </c>
      <c r="F232" s="90">
        <v>15</v>
      </c>
      <c r="G232" s="91">
        <v>661.33</v>
      </c>
      <c r="H232" s="91">
        <f>F232*G232</f>
        <v>9919.9500000000007</v>
      </c>
      <c r="I232" s="91"/>
      <c r="J232" s="91"/>
      <c r="K232" s="91">
        <f>VLOOKUP($H$215,Tabisr,1)</f>
        <v>5081.01</v>
      </c>
      <c r="L232" s="93">
        <f>+H232-K232</f>
        <v>4838.9400000000005</v>
      </c>
      <c r="M232" s="94">
        <f>VLOOKUP($H$215,Tabisr,4)</f>
        <v>0.21360000000000001</v>
      </c>
      <c r="N232" s="91">
        <f>(H232-5081.01)*21.36%</f>
        <v>1033.5975840000001</v>
      </c>
      <c r="O232" s="91">
        <v>538.20000000000005</v>
      </c>
      <c r="P232" s="91">
        <f>N232+O232</f>
        <v>1571.7975840000001</v>
      </c>
      <c r="Q232" s="91">
        <f>VLOOKUP($H$215,Tabsub,3)</f>
        <v>0</v>
      </c>
      <c r="R232" s="91"/>
      <c r="S232" s="91">
        <v>1533</v>
      </c>
      <c r="T232" s="91"/>
      <c r="U232" s="91"/>
      <c r="V232" s="93">
        <f>H232+I232+J232-P232+Q232-R232-S232-T232-U232</f>
        <v>6815.1524160000008</v>
      </c>
      <c r="W232" s="93">
        <f>V232-I232</f>
        <v>6815.1524160000008</v>
      </c>
      <c r="Y232" s="14">
        <f>+H232+I232+J232+Q232-P232-R232-S232-T232-U232</f>
        <v>6815.1524160000008</v>
      </c>
      <c r="Z232" s="14">
        <f>+V232-I232</f>
        <v>6815.1524160000008</v>
      </c>
    </row>
    <row r="233" spans="1:26" s="10" customFormat="1" x14ac:dyDescent="0.25">
      <c r="A233" s="30">
        <v>17</v>
      </c>
      <c r="B233" s="154">
        <v>1585781322</v>
      </c>
      <c r="C233" s="16" t="s">
        <v>313</v>
      </c>
      <c r="D233" s="18" t="s">
        <v>315</v>
      </c>
      <c r="E233" s="18" t="s">
        <v>314</v>
      </c>
      <c r="F233" s="63">
        <v>15</v>
      </c>
      <c r="G233" s="75">
        <v>312.26</v>
      </c>
      <c r="H233" s="68">
        <f>F233*G233</f>
        <v>4683.8999999999996</v>
      </c>
      <c r="I233" s="60">
        <v>400</v>
      </c>
      <c r="J233" s="60"/>
      <c r="K233" s="72">
        <f>VLOOKUP($H$367,Tabisr,1)</f>
        <v>5081.01</v>
      </c>
      <c r="L233" s="68">
        <f>+H233-K233</f>
        <v>-397.11000000000058</v>
      </c>
      <c r="M233" s="73">
        <f>VLOOKUP($H$367,Tabisr,4)</f>
        <v>0.21360000000000001</v>
      </c>
      <c r="N233" s="64">
        <f>(H233-4244.01)*17.92%</f>
        <v>78.828287999999901</v>
      </c>
      <c r="O233" s="72">
        <v>388.05</v>
      </c>
      <c r="P233" s="64">
        <f>N233+O233</f>
        <v>466.87828799999988</v>
      </c>
      <c r="Q233" s="72">
        <f>VLOOKUP($H$367,Tabsub,3)</f>
        <v>0</v>
      </c>
      <c r="R233" s="60"/>
      <c r="S233" s="60"/>
      <c r="T233" s="60"/>
      <c r="U233" s="60"/>
      <c r="V233" s="68">
        <f>H233+I233+J233-P233+Q233-R233-S233-T233-U233</f>
        <v>4617.0217119999998</v>
      </c>
      <c r="W233" s="68">
        <f>V233-I233</f>
        <v>4217.0217119999998</v>
      </c>
      <c r="Y233" s="14">
        <f t="shared" ref="Y233:Y235" si="110">+H233+I233+J233+Q233-P233-R233-S233-T233-U233</f>
        <v>4617.0217119999998</v>
      </c>
      <c r="Z233" s="14">
        <f t="shared" ref="Z233:Z235" si="111">+V233-I233</f>
        <v>4217.0217119999998</v>
      </c>
    </row>
    <row r="234" spans="1:26" s="12" customFormat="1" x14ac:dyDescent="0.25">
      <c r="A234" s="30">
        <v>124</v>
      </c>
      <c r="B234" s="45">
        <v>1585781994</v>
      </c>
      <c r="C234" s="16" t="s">
        <v>589</v>
      </c>
      <c r="D234" s="16" t="s">
        <v>590</v>
      </c>
      <c r="E234" s="20" t="s">
        <v>607</v>
      </c>
      <c r="F234" s="63">
        <v>15</v>
      </c>
      <c r="G234" s="72">
        <v>263.56</v>
      </c>
      <c r="H234" s="72">
        <f>F234*G234</f>
        <v>3953.4</v>
      </c>
      <c r="I234" s="72">
        <v>400</v>
      </c>
      <c r="J234" s="72"/>
      <c r="K234" s="72">
        <f>VLOOKUP($H$197,Tabisr,1)</f>
        <v>3651.01</v>
      </c>
      <c r="L234" s="68">
        <f>+H234-K234</f>
        <v>302.38999999999987</v>
      </c>
      <c r="M234" s="73">
        <f>VLOOKUP($H$197,Tabisr,4)</f>
        <v>0.16</v>
      </c>
      <c r="N234" s="72">
        <f>(H234-3651.01)*16%</f>
        <v>48.382399999999983</v>
      </c>
      <c r="O234" s="72">
        <v>293.25</v>
      </c>
      <c r="P234" s="72">
        <f>N234+O234</f>
        <v>341.63239999999996</v>
      </c>
      <c r="Q234" s="72"/>
      <c r="R234" s="72"/>
      <c r="S234" s="72"/>
      <c r="T234" s="72"/>
      <c r="U234" s="72"/>
      <c r="V234" s="68">
        <f>H234+I234+J234-P234+Q234-R234-S234-T234-U234</f>
        <v>4011.7675999999997</v>
      </c>
      <c r="W234" s="68">
        <f>V234-I234</f>
        <v>3611.7675999999997</v>
      </c>
      <c r="Y234" s="14">
        <f t="shared" si="110"/>
        <v>4011.7675999999997</v>
      </c>
      <c r="Z234" s="14">
        <f t="shared" si="111"/>
        <v>3611.7675999999997</v>
      </c>
    </row>
    <row r="235" spans="1:26" s="10" customFormat="1" x14ac:dyDescent="0.25">
      <c r="A235" s="249">
        <v>125</v>
      </c>
      <c r="B235" s="242"/>
      <c r="C235" s="243" t="s">
        <v>670</v>
      </c>
      <c r="D235" s="243" t="s">
        <v>559</v>
      </c>
      <c r="E235" s="250"/>
      <c r="F235" s="245">
        <v>15</v>
      </c>
      <c r="G235" s="248"/>
      <c r="H235" s="248"/>
      <c r="I235" s="248"/>
      <c r="J235" s="248"/>
      <c r="K235" s="248">
        <f>VLOOKUP($H$90,Tabisr,1)</f>
        <v>5081.01</v>
      </c>
      <c r="L235" s="251">
        <f>+H235-K235</f>
        <v>-5081.01</v>
      </c>
      <c r="M235" s="252">
        <f>VLOOKUP($H$90,Tabisr,4)</f>
        <v>0.21360000000000001</v>
      </c>
      <c r="N235" s="248">
        <f>(H235-4244.01)*17.92%</f>
        <v>-760.52659200000016</v>
      </c>
      <c r="O235" s="248">
        <v>388.05</v>
      </c>
      <c r="P235" s="248"/>
      <c r="Q235" s="248"/>
      <c r="R235" s="248"/>
      <c r="S235" s="248"/>
      <c r="T235" s="248"/>
      <c r="U235" s="248"/>
      <c r="V235" s="251">
        <f>H235+I235+J235-P235+Q235-R235-T235-U235</f>
        <v>0</v>
      </c>
      <c r="W235" s="251">
        <f>V235-I235</f>
        <v>0</v>
      </c>
      <c r="Y235" s="14">
        <f t="shared" si="110"/>
        <v>0</v>
      </c>
      <c r="Z235" s="14">
        <f t="shared" si="111"/>
        <v>0</v>
      </c>
    </row>
    <row r="236" spans="1:26" s="10" customFormat="1" x14ac:dyDescent="0.25">
      <c r="A236" s="32"/>
      <c r="B236" s="50"/>
      <c r="C236" s="159"/>
      <c r="D236" s="160"/>
      <c r="E236" s="213"/>
      <c r="F236" s="84"/>
      <c r="G236" s="84"/>
      <c r="H236" s="85">
        <f>SUM(H232:H235)</f>
        <v>18557.25</v>
      </c>
      <c r="I236" s="85">
        <f>I235+I234+I233</f>
        <v>800</v>
      </c>
      <c r="J236" s="85">
        <f t="shared" ref="J236:U236" si="112">+J232</f>
        <v>0</v>
      </c>
      <c r="K236" s="85">
        <f t="shared" si="112"/>
        <v>5081.01</v>
      </c>
      <c r="L236" s="85">
        <f t="shared" si="112"/>
        <v>4838.9400000000005</v>
      </c>
      <c r="M236" s="85">
        <f t="shared" si="112"/>
        <v>0.21360000000000001</v>
      </c>
      <c r="N236" s="85">
        <f t="shared" si="112"/>
        <v>1033.5975840000001</v>
      </c>
      <c r="O236" s="85">
        <f t="shared" si="112"/>
        <v>538.20000000000005</v>
      </c>
      <c r="P236" s="85">
        <f>SUM(P232:P235)</f>
        <v>2380.3082720000002</v>
      </c>
      <c r="Q236" s="85">
        <f t="shared" si="112"/>
        <v>0</v>
      </c>
      <c r="R236" s="85">
        <f t="shared" si="112"/>
        <v>0</v>
      </c>
      <c r="S236" s="85">
        <f t="shared" si="112"/>
        <v>1533</v>
      </c>
      <c r="T236" s="85">
        <f t="shared" si="112"/>
        <v>0</v>
      </c>
      <c r="U236" s="85">
        <f t="shared" si="112"/>
        <v>0</v>
      </c>
      <c r="V236" s="85">
        <f>SUM(V232:V235)</f>
        <v>15443.941728</v>
      </c>
      <c r="W236" s="85">
        <f>SUM(W232:W235)</f>
        <v>14643.941728</v>
      </c>
      <c r="Y236" s="15">
        <f>SUM(Y232:Y235)</f>
        <v>15443.941728</v>
      </c>
      <c r="Z236" s="15">
        <f>SUM(Z232:Z235)</f>
        <v>14643.941728</v>
      </c>
    </row>
    <row r="237" spans="1:26" s="10" customFormat="1" x14ac:dyDescent="0.25">
      <c r="A237" s="32"/>
      <c r="B237" s="50"/>
      <c r="C237" s="159"/>
      <c r="D237" s="160"/>
      <c r="E237" s="213"/>
      <c r="F237" s="84"/>
      <c r="G237" s="84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Y237" s="14"/>
      <c r="Z237" s="14"/>
    </row>
    <row r="238" spans="1:26" s="10" customFormat="1" ht="18.75" x14ac:dyDescent="0.25">
      <c r="A238" s="266" t="s">
        <v>399</v>
      </c>
      <c r="B238" s="266"/>
      <c r="C238" s="266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Y238" s="14"/>
      <c r="Z238" s="14"/>
    </row>
    <row r="239" spans="1:26" s="10" customFormat="1" ht="35.25" customHeight="1" x14ac:dyDescent="0.25">
      <c r="A239" s="29" t="s">
        <v>69</v>
      </c>
      <c r="B239" s="223" t="s">
        <v>584</v>
      </c>
      <c r="C239" s="29" t="s">
        <v>17</v>
      </c>
      <c r="D239" s="29" t="s">
        <v>161</v>
      </c>
      <c r="E239" s="29" t="s">
        <v>143</v>
      </c>
      <c r="F239" s="29" t="s">
        <v>27</v>
      </c>
      <c r="G239" s="29" t="s">
        <v>19</v>
      </c>
      <c r="H239" s="29" t="s">
        <v>18</v>
      </c>
      <c r="I239" s="29" t="s">
        <v>66</v>
      </c>
      <c r="J239" s="29" t="s">
        <v>74</v>
      </c>
      <c r="K239" s="47" t="s">
        <v>301</v>
      </c>
      <c r="L239" s="47" t="s">
        <v>302</v>
      </c>
      <c r="M239" s="47" t="s">
        <v>303</v>
      </c>
      <c r="N239" s="47" t="s">
        <v>304</v>
      </c>
      <c r="O239" s="29" t="s">
        <v>305</v>
      </c>
      <c r="P239" s="29" t="s">
        <v>67</v>
      </c>
      <c r="Q239" s="29" t="s">
        <v>68</v>
      </c>
      <c r="R239" s="29" t="s">
        <v>20</v>
      </c>
      <c r="S239" s="29" t="s">
        <v>452</v>
      </c>
      <c r="T239" s="29" t="s">
        <v>72</v>
      </c>
      <c r="U239" s="29" t="s">
        <v>157</v>
      </c>
      <c r="V239" s="29" t="s">
        <v>155</v>
      </c>
      <c r="W239" s="29" t="s">
        <v>156</v>
      </c>
      <c r="Y239" s="14"/>
      <c r="Z239" s="14"/>
    </row>
    <row r="240" spans="1:26" s="10" customFormat="1" ht="22.5" x14ac:dyDescent="0.25">
      <c r="A240" s="35">
        <v>126</v>
      </c>
      <c r="B240" s="45">
        <v>1585782018</v>
      </c>
      <c r="C240" s="16" t="s">
        <v>368</v>
      </c>
      <c r="D240" s="16" t="s">
        <v>369</v>
      </c>
      <c r="E240" s="18" t="s">
        <v>420</v>
      </c>
      <c r="F240" s="63">
        <v>15</v>
      </c>
      <c r="G240" s="72">
        <v>661.33</v>
      </c>
      <c r="H240" s="72">
        <f t="shared" ref="H240:H257" si="113">F240*G240</f>
        <v>9919.9500000000007</v>
      </c>
      <c r="I240" s="72"/>
      <c r="J240" s="72"/>
      <c r="K240" s="72">
        <f>VLOOKUP($H$215,Tabisr,1)</f>
        <v>5081.01</v>
      </c>
      <c r="L240" s="68">
        <f t="shared" ref="L240:L248" si="114">+H240-K240</f>
        <v>4838.9400000000005</v>
      </c>
      <c r="M240" s="73">
        <f>VLOOKUP($H$215,Tabisr,4)</f>
        <v>0.21360000000000001</v>
      </c>
      <c r="N240" s="72">
        <f>(H240-5081.01)*21.36%</f>
        <v>1033.5975840000001</v>
      </c>
      <c r="O240" s="72">
        <v>538.20000000000005</v>
      </c>
      <c r="P240" s="72">
        <f>N240+O240</f>
        <v>1571.7975840000001</v>
      </c>
      <c r="Q240" s="72">
        <f>VLOOKUP($H$215,Tabsub,3)</f>
        <v>0</v>
      </c>
      <c r="R240" s="72"/>
      <c r="S240" s="72"/>
      <c r="T240" s="72"/>
      <c r="U240" s="72"/>
      <c r="V240" s="68">
        <f t="shared" ref="V240:V245" si="115">H240+I240+J240-P240+Q240-R240-S240-T240-U240</f>
        <v>8348.1524160000008</v>
      </c>
      <c r="W240" s="68">
        <f t="shared" ref="W240:W273" si="116">V240-I240</f>
        <v>8348.1524160000008</v>
      </c>
      <c r="Y240" s="14">
        <f t="shared" ref="Y240:Y273" si="117">+H240+I240+J240+Q240-P240-R240-S240-T240-U240</f>
        <v>8348.1524160000008</v>
      </c>
      <c r="Z240" s="14">
        <f t="shared" ref="Z240:Z273" si="118">+V240-I240</f>
        <v>8348.1524160000008</v>
      </c>
    </row>
    <row r="241" spans="1:26" s="11" customFormat="1" ht="18" x14ac:dyDescent="0.25">
      <c r="A241" s="38">
        <v>127</v>
      </c>
      <c r="B241" s="45">
        <v>1585782026</v>
      </c>
      <c r="C241" s="16" t="s">
        <v>4</v>
      </c>
      <c r="D241" s="220" t="s">
        <v>485</v>
      </c>
      <c r="E241" s="151" t="s">
        <v>116</v>
      </c>
      <c r="F241" s="63">
        <v>15</v>
      </c>
      <c r="G241" s="109">
        <v>414.83</v>
      </c>
      <c r="H241" s="109">
        <f>F241*G241</f>
        <v>6222.45</v>
      </c>
      <c r="I241" s="109">
        <v>400</v>
      </c>
      <c r="J241" s="110"/>
      <c r="K241" s="109">
        <f>VLOOKUP($H$209,Tabisr,1)</f>
        <v>5081.01</v>
      </c>
      <c r="L241" s="110">
        <f>+H241-K241</f>
        <v>1141.4399999999996</v>
      </c>
      <c r="M241" s="111">
        <f>VLOOKUP($H$209,Tabisr,4)</f>
        <v>0.21360000000000001</v>
      </c>
      <c r="N241" s="64">
        <f>+L241*M241</f>
        <v>243.81158399999993</v>
      </c>
      <c r="O241" s="64">
        <f>VLOOKUP($H$209,Tabisr,3)</f>
        <v>538.20000000000005</v>
      </c>
      <c r="P241" s="60">
        <f>+N241+O241</f>
        <v>782.01158399999997</v>
      </c>
      <c r="Q241" s="109"/>
      <c r="R241" s="109"/>
      <c r="S241" s="109"/>
      <c r="T241" s="109"/>
      <c r="U241" s="100"/>
      <c r="V241" s="68">
        <f t="shared" si="115"/>
        <v>5840.438416</v>
      </c>
      <c r="W241" s="66">
        <f t="shared" si="116"/>
        <v>5440.438416</v>
      </c>
      <c r="Y241" s="14">
        <f t="shared" si="117"/>
        <v>5840.438416</v>
      </c>
      <c r="Z241" s="14">
        <f t="shared" si="118"/>
        <v>5440.438416</v>
      </c>
    </row>
    <row r="242" spans="1:26" s="10" customFormat="1" x14ac:dyDescent="0.25">
      <c r="A242" s="35">
        <v>128</v>
      </c>
      <c r="B242" s="45">
        <v>1585782034</v>
      </c>
      <c r="C242" s="16" t="s">
        <v>29</v>
      </c>
      <c r="D242" s="152" t="s">
        <v>163</v>
      </c>
      <c r="E242" s="152" t="s">
        <v>100</v>
      </c>
      <c r="F242" s="63">
        <v>15</v>
      </c>
      <c r="G242" s="64">
        <v>263.56</v>
      </c>
      <c r="H242" s="64">
        <f>F242*G242</f>
        <v>3953.4</v>
      </c>
      <c r="I242" s="64">
        <v>400</v>
      </c>
      <c r="J242" s="64"/>
      <c r="K242" s="64">
        <f>VLOOKUP($H$197,Tabisr,1)</f>
        <v>3651.01</v>
      </c>
      <c r="L242" s="66">
        <f t="shared" si="114"/>
        <v>302.38999999999987</v>
      </c>
      <c r="M242" s="67">
        <f>VLOOKUP($H$197,Tabisr,4)</f>
        <v>0.16</v>
      </c>
      <c r="N242" s="64">
        <f>(H242-3651.01)*16%</f>
        <v>48.382399999999983</v>
      </c>
      <c r="O242" s="64">
        <v>293.25</v>
      </c>
      <c r="P242" s="64">
        <f>N242+O242</f>
        <v>341.63239999999996</v>
      </c>
      <c r="Q242" s="64"/>
      <c r="R242" s="64"/>
      <c r="S242" s="64">
        <v>1061</v>
      </c>
      <c r="T242" s="64"/>
      <c r="U242" s="72"/>
      <c r="V242" s="68">
        <f t="shared" si="115"/>
        <v>2950.7675999999997</v>
      </c>
      <c r="W242" s="66">
        <f t="shared" si="116"/>
        <v>2550.7675999999997</v>
      </c>
      <c r="Y242" s="14">
        <f t="shared" si="117"/>
        <v>2950.7675999999997</v>
      </c>
      <c r="Z242" s="14">
        <f t="shared" si="118"/>
        <v>2550.7675999999997</v>
      </c>
    </row>
    <row r="243" spans="1:26" s="10" customFormat="1" x14ac:dyDescent="0.25">
      <c r="A243" s="38">
        <v>129</v>
      </c>
      <c r="B243" s="45">
        <v>1527053223</v>
      </c>
      <c r="C243" s="16" t="s">
        <v>536</v>
      </c>
      <c r="D243" s="18" t="s">
        <v>163</v>
      </c>
      <c r="E243" s="16" t="s">
        <v>537</v>
      </c>
      <c r="F243" s="63">
        <v>15</v>
      </c>
      <c r="G243" s="72">
        <v>263.56</v>
      </c>
      <c r="H243" s="72">
        <f>F243*G243</f>
        <v>3953.4</v>
      </c>
      <c r="I243" s="72">
        <v>400</v>
      </c>
      <c r="J243" s="72"/>
      <c r="K243" s="72">
        <v>4244.01</v>
      </c>
      <c r="L243" s="68">
        <f>+H243-K243</f>
        <v>-290.61000000000013</v>
      </c>
      <c r="M243" s="73">
        <v>0.1792</v>
      </c>
      <c r="N243" s="64">
        <f>(H243-3651.01)*16%</f>
        <v>48.382399999999983</v>
      </c>
      <c r="O243" s="64">
        <v>293.25</v>
      </c>
      <c r="P243" s="64">
        <f>O243+N243</f>
        <v>341.63239999999996</v>
      </c>
      <c r="Q243" s="72"/>
      <c r="R243" s="72"/>
      <c r="S243" s="72"/>
      <c r="T243" s="72"/>
      <c r="U243" s="72"/>
      <c r="V243" s="68">
        <f t="shared" si="115"/>
        <v>4011.7675999999997</v>
      </c>
      <c r="W243" s="68">
        <f t="shared" si="116"/>
        <v>3611.7675999999997</v>
      </c>
      <c r="Y243" s="14">
        <f t="shared" si="117"/>
        <v>4011.7675999999997</v>
      </c>
      <c r="Z243" s="14">
        <f t="shared" si="118"/>
        <v>3611.7675999999997</v>
      </c>
    </row>
    <row r="244" spans="1:26" s="10" customFormat="1" x14ac:dyDescent="0.25">
      <c r="A244" s="56">
        <v>243</v>
      </c>
      <c r="B244" s="52">
        <v>1503512688</v>
      </c>
      <c r="C244" s="21" t="s">
        <v>662</v>
      </c>
      <c r="D244" s="25" t="s">
        <v>175</v>
      </c>
      <c r="E244" s="21" t="s">
        <v>663</v>
      </c>
      <c r="F244" s="90">
        <v>15</v>
      </c>
      <c r="G244" s="92">
        <v>312.26</v>
      </c>
      <c r="H244" s="91">
        <f>F244*G244</f>
        <v>4683.8999999999996</v>
      </c>
      <c r="I244" s="91">
        <v>400</v>
      </c>
      <c r="J244" s="91"/>
      <c r="K244" s="91">
        <v>4244.01</v>
      </c>
      <c r="L244" s="93">
        <f>+H244-K244</f>
        <v>439.88999999999942</v>
      </c>
      <c r="M244" s="94">
        <v>0.1792</v>
      </c>
      <c r="N244" s="91">
        <f>(H244-3651.01)*16%</f>
        <v>165.2623999999999</v>
      </c>
      <c r="O244" s="91">
        <v>293.25</v>
      </c>
      <c r="P244" s="91">
        <v>424.62</v>
      </c>
      <c r="Q244" s="91"/>
      <c r="R244" s="91">
        <v>1050</v>
      </c>
      <c r="S244" s="91"/>
      <c r="T244" s="91"/>
      <c r="U244" s="91"/>
      <c r="V244" s="93">
        <f t="shared" si="115"/>
        <v>3609.2799999999997</v>
      </c>
      <c r="W244" s="93">
        <f t="shared" ref="W244" si="119">V244-I244</f>
        <v>3209.2799999999997</v>
      </c>
      <c r="X244" s="12"/>
      <c r="Y244" s="14">
        <f t="shared" ref="Y244" si="120">+H244+I244+J244+Q244-P244-R244-S244-T244-U244</f>
        <v>3609.2799999999997</v>
      </c>
      <c r="Z244" s="14">
        <f t="shared" ref="Z244" si="121">+V244-I244</f>
        <v>3209.2799999999997</v>
      </c>
    </row>
    <row r="245" spans="1:26" s="10" customFormat="1" x14ac:dyDescent="0.25">
      <c r="A245" s="35">
        <v>130</v>
      </c>
      <c r="B245" s="45">
        <v>1588365418</v>
      </c>
      <c r="C245" s="16" t="s">
        <v>43</v>
      </c>
      <c r="D245" s="16" t="s">
        <v>257</v>
      </c>
      <c r="E245" s="18" t="s">
        <v>117</v>
      </c>
      <c r="F245" s="63">
        <v>15</v>
      </c>
      <c r="G245" s="72">
        <v>253.77</v>
      </c>
      <c r="H245" s="72">
        <f t="shared" si="113"/>
        <v>3806.55</v>
      </c>
      <c r="I245" s="72">
        <v>400</v>
      </c>
      <c r="J245" s="238"/>
      <c r="K245" s="72">
        <f>VLOOKUP($H$245,Tabisr,1)</f>
        <v>3651.01</v>
      </c>
      <c r="L245" s="68">
        <f t="shared" si="114"/>
        <v>155.53999999999996</v>
      </c>
      <c r="M245" s="73">
        <f>VLOOKUP($H$245,Tabisr,4)</f>
        <v>0.16</v>
      </c>
      <c r="N245" s="72">
        <f>(H245-2077.51)*10.88%</f>
        <v>188.119552</v>
      </c>
      <c r="O245" s="72">
        <v>121.95</v>
      </c>
      <c r="P245" s="72">
        <f>O245+N245</f>
        <v>310.06955199999999</v>
      </c>
      <c r="Q245" s="72">
        <f t="shared" ref="Q245:Q254" si="122">VLOOKUP($H$245,Tabsub,3)</f>
        <v>0</v>
      </c>
      <c r="R245" s="72"/>
      <c r="S245" s="72"/>
      <c r="T245" s="72"/>
      <c r="U245" s="72"/>
      <c r="V245" s="68">
        <f t="shared" si="115"/>
        <v>3896.4804480000003</v>
      </c>
      <c r="W245" s="68">
        <f t="shared" si="116"/>
        <v>3496.4804480000003</v>
      </c>
      <c r="Y245" s="14">
        <f>+H245+I245+J247+Q245-P245-R245-S245-T245-U245</f>
        <v>3896.4804480000003</v>
      </c>
      <c r="Z245" s="14">
        <f t="shared" si="118"/>
        <v>3496.4804480000003</v>
      </c>
    </row>
    <row r="246" spans="1:26" s="10" customFormat="1" x14ac:dyDescent="0.25">
      <c r="A246" s="38">
        <v>131</v>
      </c>
      <c r="B246" s="45">
        <v>1585782044</v>
      </c>
      <c r="C246" s="16" t="s">
        <v>44</v>
      </c>
      <c r="D246" s="151" t="s">
        <v>257</v>
      </c>
      <c r="E246" s="152" t="s">
        <v>118</v>
      </c>
      <c r="F246" s="63">
        <v>15</v>
      </c>
      <c r="G246" s="72">
        <v>253.77</v>
      </c>
      <c r="H246" s="64">
        <f t="shared" si="113"/>
        <v>3806.55</v>
      </c>
      <c r="I246" s="64">
        <v>400</v>
      </c>
      <c r="J246" s="253"/>
      <c r="K246" s="64">
        <f>VLOOKUP($H$246,Tabisr,1)</f>
        <v>3651.01</v>
      </c>
      <c r="L246" s="66">
        <f t="shared" si="114"/>
        <v>155.53999999999996</v>
      </c>
      <c r="M246" s="67">
        <f>VLOOKUP($H$246,Tabisr,4)</f>
        <v>0.16</v>
      </c>
      <c r="N246" s="64">
        <f>(H246-2077.51)*10.88%</f>
        <v>188.119552</v>
      </c>
      <c r="O246" s="64">
        <v>121.95</v>
      </c>
      <c r="P246" s="64">
        <f>O246+N246</f>
        <v>310.06955199999999</v>
      </c>
      <c r="Q246" s="64">
        <f t="shared" si="122"/>
        <v>0</v>
      </c>
      <c r="R246" s="64"/>
      <c r="S246" s="64"/>
      <c r="T246" s="64"/>
      <c r="U246" s="72"/>
      <c r="V246" s="68">
        <f t="shared" ref="V246:V273" si="123">H246+I246+J246-P246+Q246-R246-S246-T246-U246</f>
        <v>3896.4804480000003</v>
      </c>
      <c r="W246" s="66">
        <f t="shared" si="116"/>
        <v>3496.4804480000003</v>
      </c>
      <c r="Y246" s="14">
        <f t="shared" si="117"/>
        <v>3896.4804480000003</v>
      </c>
      <c r="Z246" s="14">
        <f t="shared" si="118"/>
        <v>3496.4804480000003</v>
      </c>
    </row>
    <row r="247" spans="1:26" s="10" customFormat="1" x14ac:dyDescent="0.25">
      <c r="A247" s="35">
        <v>132</v>
      </c>
      <c r="B247" s="45">
        <v>1585782051</v>
      </c>
      <c r="C247" s="16" t="s">
        <v>70</v>
      </c>
      <c r="D247" s="151" t="s">
        <v>257</v>
      </c>
      <c r="E247" s="152" t="s">
        <v>119</v>
      </c>
      <c r="F247" s="63">
        <v>15</v>
      </c>
      <c r="G247" s="72">
        <v>253.77</v>
      </c>
      <c r="H247" s="64">
        <f t="shared" si="113"/>
        <v>3806.55</v>
      </c>
      <c r="I247" s="64">
        <v>400</v>
      </c>
      <c r="J247" s="253"/>
      <c r="K247" s="64">
        <f>VLOOKUP($H$247,Tabisr,1)</f>
        <v>3651.01</v>
      </c>
      <c r="L247" s="66">
        <f t="shared" si="114"/>
        <v>155.53999999999996</v>
      </c>
      <c r="M247" s="67">
        <f>VLOOKUP($H$247,Tabisr,4)</f>
        <v>0.16</v>
      </c>
      <c r="N247" s="64">
        <f>(H247-2077.51)*10.88%</f>
        <v>188.119552</v>
      </c>
      <c r="O247" s="64">
        <v>121.95</v>
      </c>
      <c r="P247" s="64">
        <f>O247+N247</f>
        <v>310.06955199999999</v>
      </c>
      <c r="Q247" s="64">
        <f t="shared" si="122"/>
        <v>0</v>
      </c>
      <c r="R247" s="64">
        <v>1000</v>
      </c>
      <c r="S247" s="64"/>
      <c r="T247" s="64"/>
      <c r="U247" s="72">
        <v>300</v>
      </c>
      <c r="V247" s="68">
        <f t="shared" ref="V247" si="124">H247+I247+J247-P247+Q247-R247-S247-T247-U247</f>
        <v>2596.4804480000003</v>
      </c>
      <c r="W247" s="66">
        <f t="shared" ref="W247" si="125">V247-I247</f>
        <v>2196.4804480000003</v>
      </c>
      <c r="Y247" s="14">
        <f t="shared" ref="Y247" si="126">+H247+I247+J247+Q247-P247-R247-S247-T247-U247</f>
        <v>2596.4804480000003</v>
      </c>
      <c r="Z247" s="14">
        <f t="shared" ref="Z247" si="127">+V247-I247</f>
        <v>2196.4804480000003</v>
      </c>
    </row>
    <row r="248" spans="1:26" s="10" customFormat="1" x14ac:dyDescent="0.25">
      <c r="A248" s="38">
        <v>133</v>
      </c>
      <c r="B248" s="45">
        <v>1585782069</v>
      </c>
      <c r="C248" s="16" t="s">
        <v>267</v>
      </c>
      <c r="D248" s="151" t="s">
        <v>257</v>
      </c>
      <c r="E248" s="152" t="s">
        <v>238</v>
      </c>
      <c r="F248" s="63">
        <v>15</v>
      </c>
      <c r="G248" s="72">
        <v>253.77</v>
      </c>
      <c r="H248" s="64">
        <f t="shared" si="113"/>
        <v>3806.55</v>
      </c>
      <c r="I248" s="64">
        <v>400</v>
      </c>
      <c r="J248" s="253"/>
      <c r="K248" s="64">
        <f>VLOOKUP($H$248,Tabisr,1)</f>
        <v>3651.01</v>
      </c>
      <c r="L248" s="66">
        <f t="shared" si="114"/>
        <v>155.53999999999996</v>
      </c>
      <c r="M248" s="67">
        <f>VLOOKUP($H$248,Tabisr,4)</f>
        <v>0.16</v>
      </c>
      <c r="N248" s="64">
        <f>(H248-2077.51)*10.88%</f>
        <v>188.119552</v>
      </c>
      <c r="O248" s="64">
        <v>121.95</v>
      </c>
      <c r="P248" s="64">
        <f>O248+N248</f>
        <v>310.06955199999999</v>
      </c>
      <c r="Q248" s="64">
        <f t="shared" si="122"/>
        <v>0</v>
      </c>
      <c r="R248" s="64"/>
      <c r="S248" s="64"/>
      <c r="T248" s="64"/>
      <c r="U248" s="72"/>
      <c r="V248" s="68">
        <f t="shared" si="123"/>
        <v>3896.4804480000003</v>
      </c>
      <c r="W248" s="66">
        <f t="shared" si="116"/>
        <v>3496.4804480000003</v>
      </c>
      <c r="Y248" s="14">
        <f t="shared" si="117"/>
        <v>3896.4804480000003</v>
      </c>
      <c r="Z248" s="14">
        <f t="shared" si="118"/>
        <v>3496.4804480000003</v>
      </c>
    </row>
    <row r="249" spans="1:26" s="10" customFormat="1" x14ac:dyDescent="0.25">
      <c r="A249" s="35">
        <v>134</v>
      </c>
      <c r="B249" s="45">
        <v>1585782077</v>
      </c>
      <c r="C249" s="16" t="s">
        <v>307</v>
      </c>
      <c r="D249" s="151" t="s">
        <v>218</v>
      </c>
      <c r="E249" s="152" t="s">
        <v>306</v>
      </c>
      <c r="F249" s="63">
        <v>15</v>
      </c>
      <c r="G249" s="64">
        <v>312.26</v>
      </c>
      <c r="H249" s="64">
        <f>F249*G249</f>
        <v>4683.8999999999996</v>
      </c>
      <c r="I249" s="64">
        <v>400</v>
      </c>
      <c r="J249" s="144"/>
      <c r="K249" s="64">
        <f>VLOOKUP($H$333,Tabisr,1)</f>
        <v>4244.01</v>
      </c>
      <c r="L249" s="66">
        <f t="shared" ref="L249:L257" si="128">+H249-K249</f>
        <v>439.88999999999942</v>
      </c>
      <c r="M249" s="67">
        <f>VLOOKUP($H$333,Tabisr,4)</f>
        <v>0.1792</v>
      </c>
      <c r="N249" s="64">
        <f>(H249-4244.01)*17.92%</f>
        <v>78.828287999999901</v>
      </c>
      <c r="O249" s="64">
        <v>388.05</v>
      </c>
      <c r="P249" s="64">
        <f>N249+O249</f>
        <v>466.87828799999988</v>
      </c>
      <c r="Q249" s="64"/>
      <c r="R249" s="64"/>
      <c r="S249" s="64"/>
      <c r="T249" s="64"/>
      <c r="U249" s="72"/>
      <c r="V249" s="68">
        <f t="shared" si="123"/>
        <v>4617.0217119999998</v>
      </c>
      <c r="W249" s="66">
        <f t="shared" si="116"/>
        <v>4217.0217119999998</v>
      </c>
      <c r="Y249" s="14">
        <f t="shared" si="117"/>
        <v>4617.0217119999998</v>
      </c>
      <c r="Z249" s="14">
        <f t="shared" si="118"/>
        <v>4217.0217119999998</v>
      </c>
    </row>
    <row r="250" spans="1:26" s="10" customFormat="1" x14ac:dyDescent="0.25">
      <c r="A250" s="38">
        <v>135</v>
      </c>
      <c r="B250" s="45">
        <v>1585782085</v>
      </c>
      <c r="C250" s="16" t="s">
        <v>532</v>
      </c>
      <c r="D250" s="16" t="s">
        <v>166</v>
      </c>
      <c r="E250" s="18" t="s">
        <v>533</v>
      </c>
      <c r="F250" s="63">
        <v>15</v>
      </c>
      <c r="G250" s="72">
        <v>253.77</v>
      </c>
      <c r="H250" s="64">
        <f>F250*G250</f>
        <v>3806.55</v>
      </c>
      <c r="I250" s="64">
        <v>400</v>
      </c>
      <c r="J250" s="144"/>
      <c r="K250" s="64">
        <f>VLOOKUP($H$249,Tabisr,1)</f>
        <v>4244.01</v>
      </c>
      <c r="L250" s="66">
        <f t="shared" si="128"/>
        <v>-437.46000000000004</v>
      </c>
      <c r="M250" s="67">
        <f>VLOOKUP($H$249,Tabisr,4)</f>
        <v>0.1792</v>
      </c>
      <c r="N250" s="64">
        <f>(H250-2077.51)*10.88%</f>
        <v>188.119552</v>
      </c>
      <c r="O250" s="64">
        <v>121.95</v>
      </c>
      <c r="P250" s="64">
        <f>O250+N250</f>
        <v>310.06955199999999</v>
      </c>
      <c r="Q250" s="64">
        <f t="shared" si="122"/>
        <v>0</v>
      </c>
      <c r="R250" s="64">
        <v>1410</v>
      </c>
      <c r="S250" s="64"/>
      <c r="T250" s="64"/>
      <c r="U250" s="72"/>
      <c r="V250" s="68">
        <f t="shared" si="123"/>
        <v>2486.4804480000003</v>
      </c>
      <c r="W250" s="66">
        <f t="shared" si="116"/>
        <v>2086.4804480000003</v>
      </c>
      <c r="Y250" s="14">
        <f t="shared" si="117"/>
        <v>2486.4804480000003</v>
      </c>
      <c r="Z250" s="14">
        <f t="shared" si="118"/>
        <v>2086.4804480000003</v>
      </c>
    </row>
    <row r="251" spans="1:26" s="10" customFormat="1" x14ac:dyDescent="0.25">
      <c r="A251" s="35">
        <v>136</v>
      </c>
      <c r="B251" s="45">
        <v>1585782093</v>
      </c>
      <c r="C251" s="16" t="s">
        <v>548</v>
      </c>
      <c r="D251" s="16" t="s">
        <v>166</v>
      </c>
      <c r="E251" s="18" t="s">
        <v>549</v>
      </c>
      <c r="F251" s="63">
        <v>15</v>
      </c>
      <c r="G251" s="72">
        <v>253.77</v>
      </c>
      <c r="H251" s="72">
        <f>F251*G251</f>
        <v>3806.55</v>
      </c>
      <c r="I251" s="72">
        <v>400</v>
      </c>
      <c r="J251" s="144"/>
      <c r="K251" s="72">
        <f>VLOOKUP($H$249,Tabisr,1)</f>
        <v>4244.01</v>
      </c>
      <c r="L251" s="68">
        <f t="shared" si="128"/>
        <v>-437.46000000000004</v>
      </c>
      <c r="M251" s="73">
        <f>VLOOKUP($H$249,Tabisr,4)</f>
        <v>0.1792</v>
      </c>
      <c r="N251" s="72">
        <f>(H251-2077.51)*10.88%</f>
        <v>188.119552</v>
      </c>
      <c r="O251" s="72">
        <v>121.95</v>
      </c>
      <c r="P251" s="72">
        <f>O251+N251</f>
        <v>310.06955199999999</v>
      </c>
      <c r="Q251" s="72">
        <f t="shared" si="122"/>
        <v>0</v>
      </c>
      <c r="R251" s="72"/>
      <c r="S251" s="72"/>
      <c r="T251" s="72"/>
      <c r="U251" s="72"/>
      <c r="V251" s="68">
        <f t="shared" si="123"/>
        <v>3896.4804480000003</v>
      </c>
      <c r="W251" s="68">
        <f t="shared" si="116"/>
        <v>3496.4804480000003</v>
      </c>
      <c r="Y251" s="14">
        <f t="shared" si="117"/>
        <v>3896.4804480000003</v>
      </c>
      <c r="Z251" s="14">
        <f t="shared" si="118"/>
        <v>3496.4804480000003</v>
      </c>
    </row>
    <row r="252" spans="1:26" s="10" customFormat="1" x14ac:dyDescent="0.25">
      <c r="A252" s="38">
        <v>137</v>
      </c>
      <c r="B252" s="45">
        <v>1585782107</v>
      </c>
      <c r="C252" s="16" t="s">
        <v>380</v>
      </c>
      <c r="D252" s="16" t="s">
        <v>166</v>
      </c>
      <c r="E252" s="20" t="s">
        <v>381</v>
      </c>
      <c r="F252" s="63">
        <v>15</v>
      </c>
      <c r="G252" s="72">
        <v>263.56</v>
      </c>
      <c r="H252" s="72">
        <f>F252*G252</f>
        <v>3953.4</v>
      </c>
      <c r="I252" s="72">
        <v>400</v>
      </c>
      <c r="J252" s="196"/>
      <c r="K252" s="72">
        <f>VLOOKUP($H$290,Tabisr,1)</f>
        <v>3651.01</v>
      </c>
      <c r="L252" s="68">
        <f t="shared" si="128"/>
        <v>302.38999999999987</v>
      </c>
      <c r="M252" s="73">
        <f>VLOOKUP($H$290,Tabisr,4)</f>
        <v>0.16</v>
      </c>
      <c r="N252" s="72">
        <f>(H252-3651.01)*16%</f>
        <v>48.382399999999983</v>
      </c>
      <c r="O252" s="72">
        <v>293.25</v>
      </c>
      <c r="P252" s="72">
        <f>N252+O252</f>
        <v>341.63239999999996</v>
      </c>
      <c r="Q252" s="72">
        <f>VLOOKUP($H$290,Tabsub,3)</f>
        <v>0</v>
      </c>
      <c r="R252" s="60"/>
      <c r="S252" s="60"/>
      <c r="T252" s="83"/>
      <c r="U252" s="83"/>
      <c r="V252" s="68">
        <f t="shared" si="123"/>
        <v>4011.7675999999997</v>
      </c>
      <c r="W252" s="68">
        <f t="shared" si="116"/>
        <v>3611.7675999999997</v>
      </c>
      <c r="Y252" s="14">
        <f t="shared" si="117"/>
        <v>4011.7675999999997</v>
      </c>
      <c r="Z252" s="14">
        <f t="shared" si="118"/>
        <v>3611.7675999999997</v>
      </c>
    </row>
    <row r="253" spans="1:26" s="10" customFormat="1" x14ac:dyDescent="0.25">
      <c r="A253" s="35">
        <v>138</v>
      </c>
      <c r="B253" s="45">
        <v>1585782132</v>
      </c>
      <c r="C253" s="16" t="s">
        <v>463</v>
      </c>
      <c r="D253" s="151" t="s">
        <v>633</v>
      </c>
      <c r="E253" s="152" t="s">
        <v>464</v>
      </c>
      <c r="F253" s="63">
        <v>15</v>
      </c>
      <c r="G253" s="64">
        <v>414.83</v>
      </c>
      <c r="H253" s="64">
        <f>F253*G253</f>
        <v>6222.45</v>
      </c>
      <c r="I253" s="64">
        <v>400</v>
      </c>
      <c r="J253" s="239"/>
      <c r="K253" s="64">
        <f>VLOOKUP($H$209,Tabisr,1)</f>
        <v>5081.01</v>
      </c>
      <c r="L253" s="66">
        <f>+H253-K253</f>
        <v>1141.4399999999996</v>
      </c>
      <c r="M253" s="67">
        <f>VLOOKUP($H$209,Tabisr,4)</f>
        <v>0.21360000000000001</v>
      </c>
      <c r="N253" s="64">
        <f>+L253*M253</f>
        <v>243.81158399999993</v>
      </c>
      <c r="O253" s="64">
        <f>VLOOKUP($H$209,Tabisr,3)</f>
        <v>538.20000000000005</v>
      </c>
      <c r="P253" s="64">
        <f>+N253+O253</f>
        <v>782.01158399999997</v>
      </c>
      <c r="Q253" s="64"/>
      <c r="R253" s="64"/>
      <c r="S253" s="64">
        <v>1373</v>
      </c>
      <c r="T253" s="64"/>
      <c r="U253" s="72"/>
      <c r="V253" s="68">
        <f t="shared" si="123"/>
        <v>4467.438416</v>
      </c>
      <c r="W253" s="66">
        <f t="shared" si="116"/>
        <v>4067.438416</v>
      </c>
      <c r="Y253" s="14">
        <f t="shared" si="117"/>
        <v>4467.438416</v>
      </c>
      <c r="Z253" s="14">
        <f t="shared" si="118"/>
        <v>4067.438416</v>
      </c>
    </row>
    <row r="254" spans="1:26" s="10" customFormat="1" x14ac:dyDescent="0.25">
      <c r="A254" s="38">
        <v>139</v>
      </c>
      <c r="B254" s="45">
        <v>1585782115</v>
      </c>
      <c r="C254" s="16" t="s">
        <v>41</v>
      </c>
      <c r="D254" s="151" t="s">
        <v>258</v>
      </c>
      <c r="E254" s="152" t="s">
        <v>114</v>
      </c>
      <c r="F254" s="63">
        <v>15</v>
      </c>
      <c r="G254" s="64">
        <v>260.62</v>
      </c>
      <c r="H254" s="64">
        <f t="shared" si="113"/>
        <v>3909.3</v>
      </c>
      <c r="I254" s="64">
        <v>400</v>
      </c>
      <c r="J254" s="64"/>
      <c r="K254" s="64">
        <f>VLOOKUP($H$254,Tabisr,1)</f>
        <v>3651.01</v>
      </c>
      <c r="L254" s="66">
        <f t="shared" si="128"/>
        <v>258.28999999999996</v>
      </c>
      <c r="M254" s="67">
        <f>VLOOKUP($H$254,Tabisr,4)</f>
        <v>0.16</v>
      </c>
      <c r="N254" s="64">
        <f>(H254-2077.51)*10.88%-37.95</f>
        <v>161.34875199999999</v>
      </c>
      <c r="O254" s="64">
        <v>121.95</v>
      </c>
      <c r="P254" s="64">
        <f t="shared" ref="P254:P269" si="129">O254+N254</f>
        <v>283.29875199999998</v>
      </c>
      <c r="Q254" s="64">
        <f t="shared" si="122"/>
        <v>0</v>
      </c>
      <c r="R254" s="64">
        <v>750</v>
      </c>
      <c r="S254" s="64"/>
      <c r="T254" s="64"/>
      <c r="U254" s="72"/>
      <c r="V254" s="68">
        <f t="shared" si="123"/>
        <v>3276.001248</v>
      </c>
      <c r="W254" s="66">
        <f t="shared" si="116"/>
        <v>2876.001248</v>
      </c>
      <c r="Y254" s="14">
        <f t="shared" si="117"/>
        <v>3276.001248</v>
      </c>
      <c r="Z254" s="14">
        <f t="shared" si="118"/>
        <v>2876.001248</v>
      </c>
    </row>
    <row r="255" spans="1:26" s="10" customFormat="1" ht="24" customHeight="1" x14ac:dyDescent="0.25">
      <c r="A255" s="35">
        <v>140</v>
      </c>
      <c r="B255" s="45">
        <v>1585782123</v>
      </c>
      <c r="C255" s="16" t="s">
        <v>147</v>
      </c>
      <c r="D255" s="151" t="s">
        <v>182</v>
      </c>
      <c r="E255" s="152" t="s">
        <v>151</v>
      </c>
      <c r="F255" s="63">
        <v>15</v>
      </c>
      <c r="G255" s="64">
        <v>260.62</v>
      </c>
      <c r="H255" s="64">
        <f t="shared" si="113"/>
        <v>3909.3</v>
      </c>
      <c r="I255" s="64">
        <v>400</v>
      </c>
      <c r="J255" s="64"/>
      <c r="K255" s="64">
        <f>VLOOKUP($H$255,Tabisr,1)</f>
        <v>3651.01</v>
      </c>
      <c r="L255" s="66">
        <f t="shared" si="128"/>
        <v>258.28999999999996</v>
      </c>
      <c r="M255" s="67">
        <f>VLOOKUP($H$255,Tabisr,4)</f>
        <v>0.16</v>
      </c>
      <c r="N255" s="64">
        <f t="shared" ref="N255:N260" si="130">(H255-3651.01)*16%</f>
        <v>41.326399999999992</v>
      </c>
      <c r="O255" s="64">
        <v>293.25</v>
      </c>
      <c r="P255" s="64">
        <f t="shared" si="129"/>
        <v>334.57639999999998</v>
      </c>
      <c r="Q255" s="64"/>
      <c r="R255" s="64">
        <v>1200</v>
      </c>
      <c r="S255" s="64"/>
      <c r="T255" s="64"/>
      <c r="U255" s="72"/>
      <c r="V255" s="68">
        <f t="shared" si="123"/>
        <v>2774.7236000000003</v>
      </c>
      <c r="W255" s="66">
        <f t="shared" si="116"/>
        <v>2374.7236000000003</v>
      </c>
      <c r="Y255" s="14">
        <f t="shared" si="117"/>
        <v>2774.7236000000003</v>
      </c>
      <c r="Z255" s="14">
        <f t="shared" si="118"/>
        <v>2374.7236000000003</v>
      </c>
    </row>
    <row r="256" spans="1:26" s="10" customFormat="1" ht="23.25" customHeight="1" x14ac:dyDescent="0.25">
      <c r="A256" s="38">
        <v>141</v>
      </c>
      <c r="B256" s="45">
        <v>1585782140</v>
      </c>
      <c r="C256" s="16" t="s">
        <v>153</v>
      </c>
      <c r="D256" s="151" t="s">
        <v>182</v>
      </c>
      <c r="E256" s="152" t="s">
        <v>154</v>
      </c>
      <c r="F256" s="63">
        <v>15</v>
      </c>
      <c r="G256" s="64">
        <v>260.62</v>
      </c>
      <c r="H256" s="64">
        <f t="shared" si="113"/>
        <v>3909.3</v>
      </c>
      <c r="I256" s="64">
        <v>400</v>
      </c>
      <c r="J256" s="31"/>
      <c r="K256" s="64">
        <f>VLOOKUP($H$256,Tabisr,1)</f>
        <v>3651.01</v>
      </c>
      <c r="L256" s="66">
        <f t="shared" si="128"/>
        <v>258.28999999999996</v>
      </c>
      <c r="M256" s="67">
        <f>VLOOKUP($H$256,Tabisr,4)</f>
        <v>0.16</v>
      </c>
      <c r="N256" s="64">
        <f t="shared" si="130"/>
        <v>41.326399999999992</v>
      </c>
      <c r="O256" s="64">
        <v>293.25</v>
      </c>
      <c r="P256" s="64">
        <f t="shared" si="129"/>
        <v>334.57639999999998</v>
      </c>
      <c r="Q256" s="64">
        <f>VLOOKUP($H$256,Tabsub,3)</f>
        <v>0</v>
      </c>
      <c r="R256" s="72"/>
      <c r="S256" s="72"/>
      <c r="T256" s="64"/>
      <c r="U256" s="72"/>
      <c r="V256" s="68">
        <f t="shared" si="123"/>
        <v>3974.7236000000003</v>
      </c>
      <c r="W256" s="66">
        <f t="shared" si="116"/>
        <v>3574.7236000000003</v>
      </c>
      <c r="Y256" s="14">
        <f t="shared" si="117"/>
        <v>3974.7236000000003</v>
      </c>
      <c r="Z256" s="14">
        <f t="shared" si="118"/>
        <v>3574.7236000000003</v>
      </c>
    </row>
    <row r="257" spans="1:26" s="10" customFormat="1" ht="24.75" x14ac:dyDescent="0.25">
      <c r="A257" s="35">
        <v>142</v>
      </c>
      <c r="B257" s="45">
        <v>1585782158</v>
      </c>
      <c r="C257" s="16" t="s">
        <v>75</v>
      </c>
      <c r="D257" s="221" t="s">
        <v>179</v>
      </c>
      <c r="E257" s="152" t="s">
        <v>77</v>
      </c>
      <c r="F257" s="63">
        <v>15</v>
      </c>
      <c r="G257" s="64">
        <v>260.62</v>
      </c>
      <c r="H257" s="64">
        <f t="shared" si="113"/>
        <v>3909.3</v>
      </c>
      <c r="I257" s="64">
        <v>400</v>
      </c>
      <c r="J257" s="64"/>
      <c r="K257" s="64">
        <f>VLOOKUP($H$257,Tabisr,1)</f>
        <v>3651.01</v>
      </c>
      <c r="L257" s="66">
        <f t="shared" si="128"/>
        <v>258.28999999999996</v>
      </c>
      <c r="M257" s="67">
        <f>VLOOKUP($H$257,Tabisr,4)</f>
        <v>0.16</v>
      </c>
      <c r="N257" s="64">
        <f t="shared" si="130"/>
        <v>41.326399999999992</v>
      </c>
      <c r="O257" s="64">
        <v>293.25</v>
      </c>
      <c r="P257" s="64">
        <f t="shared" si="129"/>
        <v>334.57639999999998</v>
      </c>
      <c r="Q257" s="64">
        <f>VLOOKUP($H$257,Tabsub,3)</f>
        <v>0</v>
      </c>
      <c r="R257" s="72"/>
      <c r="S257" s="72"/>
      <c r="T257" s="64"/>
      <c r="U257" s="72"/>
      <c r="V257" s="68">
        <f t="shared" si="123"/>
        <v>3974.7236000000003</v>
      </c>
      <c r="W257" s="66">
        <f t="shared" si="116"/>
        <v>3574.7236000000003</v>
      </c>
      <c r="Y257" s="14">
        <f t="shared" si="117"/>
        <v>3974.7236000000003</v>
      </c>
      <c r="Z257" s="14">
        <f t="shared" si="118"/>
        <v>3574.7236000000003</v>
      </c>
    </row>
    <row r="258" spans="1:26" s="10" customFormat="1" x14ac:dyDescent="0.25">
      <c r="A258" s="38">
        <v>143</v>
      </c>
      <c r="B258" s="45">
        <v>1585782166</v>
      </c>
      <c r="C258" s="16" t="s">
        <v>10</v>
      </c>
      <c r="D258" s="158" t="s">
        <v>227</v>
      </c>
      <c r="E258" s="18" t="s">
        <v>133</v>
      </c>
      <c r="F258" s="63">
        <v>15</v>
      </c>
      <c r="G258" s="72">
        <v>264.56</v>
      </c>
      <c r="H258" s="72">
        <f t="shared" ref="H258:H264" si="131">F258*G258</f>
        <v>3968.4</v>
      </c>
      <c r="I258" s="72">
        <v>400</v>
      </c>
      <c r="J258" s="72"/>
      <c r="K258" s="72">
        <f>VLOOKUP($H$258,Tabisr,1)</f>
        <v>3651.01</v>
      </c>
      <c r="L258" s="68">
        <f t="shared" ref="L258:L273" si="132">+H258-K258</f>
        <v>317.38999999999987</v>
      </c>
      <c r="M258" s="73">
        <f>VLOOKUP($H$258,Tabisr,4)</f>
        <v>0.16</v>
      </c>
      <c r="N258" s="64">
        <f t="shared" si="130"/>
        <v>50.782399999999981</v>
      </c>
      <c r="O258" s="64">
        <v>293.25</v>
      </c>
      <c r="P258" s="64">
        <f t="shared" si="129"/>
        <v>344.0324</v>
      </c>
      <c r="Q258" s="72">
        <f>VLOOKUP($H$258,Tabsub,3)</f>
        <v>0</v>
      </c>
      <c r="R258" s="72"/>
      <c r="S258" s="72">
        <v>1877</v>
      </c>
      <c r="T258" s="72"/>
      <c r="U258" s="72"/>
      <c r="V258" s="68">
        <f t="shared" si="123"/>
        <v>2147.3675999999996</v>
      </c>
      <c r="W258" s="66">
        <f t="shared" si="116"/>
        <v>1747.3675999999996</v>
      </c>
      <c r="Y258" s="14">
        <f t="shared" si="117"/>
        <v>2147.3675999999996</v>
      </c>
      <c r="Z258" s="14">
        <f t="shared" si="118"/>
        <v>1747.3675999999996</v>
      </c>
    </row>
    <row r="259" spans="1:26" x14ac:dyDescent="0.25">
      <c r="A259" s="35">
        <v>144</v>
      </c>
      <c r="B259" s="45">
        <v>1585782409</v>
      </c>
      <c r="C259" s="151" t="s">
        <v>327</v>
      </c>
      <c r="D259" s="152" t="s">
        <v>641</v>
      </c>
      <c r="E259" s="152" t="s">
        <v>328</v>
      </c>
      <c r="F259" s="63">
        <v>15</v>
      </c>
      <c r="G259" s="64">
        <v>271.86</v>
      </c>
      <c r="H259" s="64">
        <f t="shared" si="131"/>
        <v>4077.9</v>
      </c>
      <c r="I259" s="64">
        <v>400</v>
      </c>
      <c r="J259" s="72"/>
      <c r="K259" s="64">
        <f>VLOOKUP($H$303,Tabisr,1)</f>
        <v>3651.01</v>
      </c>
      <c r="L259" s="66">
        <f t="shared" si="132"/>
        <v>426.88999999999987</v>
      </c>
      <c r="M259" s="67">
        <f>VLOOKUP($H$303,Tabisr,4)</f>
        <v>0.16</v>
      </c>
      <c r="N259" s="64">
        <f>(H259-3651.01)*16%</f>
        <v>68.302399999999977</v>
      </c>
      <c r="O259" s="72">
        <v>293.25</v>
      </c>
      <c r="P259" s="64">
        <f>N259+O259</f>
        <v>361.55239999999998</v>
      </c>
      <c r="Q259" s="64">
        <f>VLOOKUP($H$303,Tabsub,3)</f>
        <v>0</v>
      </c>
      <c r="R259" s="64"/>
      <c r="S259" s="64">
        <v>685</v>
      </c>
      <c r="T259" s="64"/>
      <c r="U259" s="64"/>
      <c r="V259" s="68">
        <f t="shared" si="123"/>
        <v>3431.3476000000001</v>
      </c>
      <c r="W259" s="68">
        <f t="shared" si="116"/>
        <v>3031.3476000000001</v>
      </c>
      <c r="Y259" s="14">
        <f t="shared" si="117"/>
        <v>3431.3476000000001</v>
      </c>
      <c r="Z259" s="14">
        <f t="shared" si="118"/>
        <v>3031.3476000000001</v>
      </c>
    </row>
    <row r="260" spans="1:26" s="10" customFormat="1" x14ac:dyDescent="0.25">
      <c r="A260" s="38">
        <v>145</v>
      </c>
      <c r="B260" s="45">
        <v>1585782184</v>
      </c>
      <c r="C260" s="16" t="s">
        <v>53</v>
      </c>
      <c r="D260" s="16" t="s">
        <v>175</v>
      </c>
      <c r="E260" s="18" t="s">
        <v>135</v>
      </c>
      <c r="F260" s="63">
        <v>15</v>
      </c>
      <c r="G260" s="72">
        <v>264.56</v>
      </c>
      <c r="H260" s="72">
        <f t="shared" si="131"/>
        <v>3968.4</v>
      </c>
      <c r="I260" s="72">
        <v>400</v>
      </c>
      <c r="J260" s="72"/>
      <c r="K260" s="72">
        <f>VLOOKUP($H$260,Tabisr,1)</f>
        <v>3651.01</v>
      </c>
      <c r="L260" s="68">
        <f t="shared" si="132"/>
        <v>317.38999999999987</v>
      </c>
      <c r="M260" s="73">
        <f>VLOOKUP($H$260,Tabisr,4)</f>
        <v>0.16</v>
      </c>
      <c r="N260" s="64">
        <f t="shared" si="130"/>
        <v>50.782399999999981</v>
      </c>
      <c r="O260" s="64">
        <v>293.25</v>
      </c>
      <c r="P260" s="64">
        <f t="shared" si="129"/>
        <v>344.0324</v>
      </c>
      <c r="Q260" s="72">
        <f>VLOOKUP($H$260,Tabsub,3)</f>
        <v>0</v>
      </c>
      <c r="R260" s="72"/>
      <c r="S260" s="72"/>
      <c r="T260" s="72"/>
      <c r="U260" s="72"/>
      <c r="V260" s="68">
        <f t="shared" si="123"/>
        <v>4024.3675999999996</v>
      </c>
      <c r="W260" s="66">
        <f t="shared" si="116"/>
        <v>3624.3675999999996</v>
      </c>
      <c r="Y260" s="14">
        <f t="shared" si="117"/>
        <v>4024.3675999999996</v>
      </c>
      <c r="Z260" s="14">
        <f t="shared" si="118"/>
        <v>3624.3675999999996</v>
      </c>
    </row>
    <row r="261" spans="1:26" s="10" customFormat="1" x14ac:dyDescent="0.25">
      <c r="A261" s="35">
        <v>146</v>
      </c>
      <c r="B261" s="45">
        <v>1585781666</v>
      </c>
      <c r="C261" s="16" t="s">
        <v>251</v>
      </c>
      <c r="D261" s="16" t="s">
        <v>175</v>
      </c>
      <c r="E261" s="163" t="s">
        <v>144</v>
      </c>
      <c r="F261" s="63">
        <v>15</v>
      </c>
      <c r="G261" s="72">
        <v>264.56</v>
      </c>
      <c r="H261" s="72">
        <f t="shared" si="131"/>
        <v>3968.4</v>
      </c>
      <c r="I261" s="72">
        <v>400</v>
      </c>
      <c r="J261" s="72"/>
      <c r="K261" s="72">
        <f>VLOOKUP($H$260,Tabisr,1)</f>
        <v>3651.01</v>
      </c>
      <c r="L261" s="68">
        <f t="shared" si="132"/>
        <v>317.38999999999987</v>
      </c>
      <c r="M261" s="73">
        <f>VLOOKUP($H$260,Tabisr,4)</f>
        <v>0.16</v>
      </c>
      <c r="N261" s="64">
        <f>(H261-3651.01)*16%</f>
        <v>50.782399999999981</v>
      </c>
      <c r="O261" s="64">
        <v>293.25</v>
      </c>
      <c r="P261" s="64">
        <f>O261+N261</f>
        <v>344.0324</v>
      </c>
      <c r="Q261" s="72">
        <f>VLOOKUP($H$260,Tabsub,3)</f>
        <v>0</v>
      </c>
      <c r="R261" s="72"/>
      <c r="S261" s="72"/>
      <c r="T261" s="72"/>
      <c r="U261" s="72"/>
      <c r="V261" s="68">
        <f t="shared" si="123"/>
        <v>4024.3675999999996</v>
      </c>
      <c r="W261" s="66">
        <f t="shared" si="116"/>
        <v>3624.3675999999996</v>
      </c>
      <c r="Y261" s="14">
        <f t="shared" si="117"/>
        <v>4024.3675999999996</v>
      </c>
      <c r="Z261" s="14">
        <f t="shared" si="118"/>
        <v>3624.3675999999996</v>
      </c>
    </row>
    <row r="262" spans="1:26" s="10" customFormat="1" x14ac:dyDescent="0.25">
      <c r="A262" s="38">
        <v>147</v>
      </c>
      <c r="B262" s="45">
        <v>1585782191</v>
      </c>
      <c r="C262" s="16" t="s">
        <v>554</v>
      </c>
      <c r="D262" s="16" t="s">
        <v>175</v>
      </c>
      <c r="E262" s="18" t="s">
        <v>555</v>
      </c>
      <c r="F262" s="63">
        <v>15</v>
      </c>
      <c r="G262" s="72">
        <v>264.56</v>
      </c>
      <c r="H262" s="72">
        <f t="shared" si="131"/>
        <v>3968.4</v>
      </c>
      <c r="I262" s="72">
        <v>400</v>
      </c>
      <c r="J262" s="72"/>
      <c r="K262" s="72">
        <f>VLOOKUP($H$260,Tabisr,1)</f>
        <v>3651.01</v>
      </c>
      <c r="L262" s="68">
        <f t="shared" si="132"/>
        <v>317.38999999999987</v>
      </c>
      <c r="M262" s="73">
        <f>VLOOKUP($H$260,Tabisr,4)</f>
        <v>0.16</v>
      </c>
      <c r="N262" s="72">
        <f>(H262-3651.01)*16%</f>
        <v>50.782399999999981</v>
      </c>
      <c r="O262" s="72">
        <v>293.25</v>
      </c>
      <c r="P262" s="72">
        <f>O262+N262</f>
        <v>344.0324</v>
      </c>
      <c r="Q262" s="72">
        <f>VLOOKUP($H$260,Tabsub,3)</f>
        <v>0</v>
      </c>
      <c r="R262" s="72"/>
      <c r="S262" s="72"/>
      <c r="T262" s="72"/>
      <c r="U262" s="72"/>
      <c r="V262" s="68">
        <f t="shared" si="123"/>
        <v>4024.3675999999996</v>
      </c>
      <c r="W262" s="68">
        <f t="shared" si="116"/>
        <v>3624.3675999999996</v>
      </c>
      <c r="Y262" s="14">
        <f t="shared" si="117"/>
        <v>4024.3675999999996</v>
      </c>
      <c r="Z262" s="14">
        <f t="shared" si="118"/>
        <v>3624.3675999999996</v>
      </c>
    </row>
    <row r="263" spans="1:26" s="10" customFormat="1" x14ac:dyDescent="0.25">
      <c r="A263" s="35">
        <v>148</v>
      </c>
      <c r="B263" s="45">
        <v>1586243561</v>
      </c>
      <c r="C263" s="16" t="s">
        <v>54</v>
      </c>
      <c r="D263" s="16" t="s">
        <v>174</v>
      </c>
      <c r="E263" s="18" t="s">
        <v>136</v>
      </c>
      <c r="F263" s="63">
        <v>15</v>
      </c>
      <c r="G263" s="72">
        <v>253.77</v>
      </c>
      <c r="H263" s="72">
        <f t="shared" si="131"/>
        <v>3806.55</v>
      </c>
      <c r="I263" s="72">
        <v>400</v>
      </c>
      <c r="J263" s="72"/>
      <c r="K263" s="72">
        <f>VLOOKUP($H$263,Tabisr,1)</f>
        <v>3651.01</v>
      </c>
      <c r="L263" s="68">
        <f t="shared" si="132"/>
        <v>155.53999999999996</v>
      </c>
      <c r="M263" s="73">
        <f>VLOOKUP($H$263,Tabisr,4)</f>
        <v>0.16</v>
      </c>
      <c r="N263" s="64">
        <f t="shared" ref="N263:N273" si="133">(H263-2077.51)*10.88%</f>
        <v>188.119552</v>
      </c>
      <c r="O263" s="64">
        <v>121.95</v>
      </c>
      <c r="P263" s="64">
        <f t="shared" si="129"/>
        <v>310.06955199999999</v>
      </c>
      <c r="Q263" s="72">
        <f t="shared" ref="Q263:Q267" si="134">VLOOKUP($H$263,Tabsub,3)</f>
        <v>0</v>
      </c>
      <c r="R263" s="72">
        <v>1700</v>
      </c>
      <c r="S263" s="72"/>
      <c r="T263" s="72"/>
      <c r="U263" s="72"/>
      <c r="V263" s="68">
        <f t="shared" si="123"/>
        <v>2196.4804480000003</v>
      </c>
      <c r="W263" s="66">
        <f t="shared" si="116"/>
        <v>1796.4804480000003</v>
      </c>
      <c r="Y263" s="14">
        <f t="shared" si="117"/>
        <v>2196.4804480000003</v>
      </c>
      <c r="Z263" s="14">
        <f t="shared" si="118"/>
        <v>1796.4804480000003</v>
      </c>
    </row>
    <row r="264" spans="1:26" s="10" customFormat="1" x14ac:dyDescent="0.25">
      <c r="A264" s="38">
        <v>149</v>
      </c>
      <c r="B264" s="45">
        <v>1586243579</v>
      </c>
      <c r="C264" s="16" t="s">
        <v>55</v>
      </c>
      <c r="D264" s="16" t="s">
        <v>174</v>
      </c>
      <c r="E264" s="18" t="s">
        <v>137</v>
      </c>
      <c r="F264" s="63">
        <v>15</v>
      </c>
      <c r="G264" s="72">
        <v>253.77</v>
      </c>
      <c r="H264" s="72">
        <f t="shared" si="131"/>
        <v>3806.55</v>
      </c>
      <c r="I264" s="72">
        <v>400</v>
      </c>
      <c r="J264" s="72"/>
      <c r="K264" s="72">
        <f>VLOOKUP($H$264,Tabisr,1)</f>
        <v>3651.01</v>
      </c>
      <c r="L264" s="68">
        <f t="shared" si="132"/>
        <v>155.53999999999996</v>
      </c>
      <c r="M264" s="73">
        <f>VLOOKUP($H$264,Tabisr,4)</f>
        <v>0.16</v>
      </c>
      <c r="N264" s="72">
        <f t="shared" si="133"/>
        <v>188.119552</v>
      </c>
      <c r="O264" s="72">
        <v>121.95</v>
      </c>
      <c r="P264" s="72">
        <f t="shared" si="129"/>
        <v>310.06955199999999</v>
      </c>
      <c r="Q264" s="72">
        <f t="shared" si="134"/>
        <v>0</v>
      </c>
      <c r="R264" s="72">
        <v>1050</v>
      </c>
      <c r="S264" s="72"/>
      <c r="T264" s="72"/>
      <c r="U264" s="72"/>
      <c r="V264" s="68">
        <f t="shared" si="123"/>
        <v>2846.4804480000003</v>
      </c>
      <c r="W264" s="68">
        <f t="shared" si="116"/>
        <v>2446.4804480000003</v>
      </c>
      <c r="Y264" s="14">
        <f t="shared" si="117"/>
        <v>2846.4804480000003</v>
      </c>
      <c r="Z264" s="14">
        <f t="shared" si="118"/>
        <v>2446.4804480000003</v>
      </c>
    </row>
    <row r="265" spans="1:26" s="10" customFormat="1" x14ac:dyDescent="0.25">
      <c r="A265" s="35">
        <v>150</v>
      </c>
      <c r="B265" s="45">
        <v>1585782204</v>
      </c>
      <c r="C265" s="16" t="s">
        <v>465</v>
      </c>
      <c r="D265" s="16" t="s">
        <v>174</v>
      </c>
      <c r="E265" s="18" t="s">
        <v>466</v>
      </c>
      <c r="F265" s="63">
        <v>15</v>
      </c>
      <c r="G265" s="72">
        <v>253.77</v>
      </c>
      <c r="H265" s="72">
        <f t="shared" ref="H265:H270" si="135">F265*G265</f>
        <v>3806.55</v>
      </c>
      <c r="I265" s="72">
        <v>400</v>
      </c>
      <c r="J265" s="72"/>
      <c r="K265" s="72">
        <f>VLOOKUP($H$264,Tabisr,1)</f>
        <v>3651.01</v>
      </c>
      <c r="L265" s="68">
        <f t="shared" si="132"/>
        <v>155.53999999999996</v>
      </c>
      <c r="M265" s="73">
        <f>VLOOKUP($H$264,Tabisr,4)</f>
        <v>0.16</v>
      </c>
      <c r="N265" s="64">
        <f t="shared" si="133"/>
        <v>188.119552</v>
      </c>
      <c r="O265" s="64">
        <v>121.95</v>
      </c>
      <c r="P265" s="64">
        <f>O265+N265</f>
        <v>310.06955199999999</v>
      </c>
      <c r="Q265" s="72">
        <f t="shared" si="134"/>
        <v>0</v>
      </c>
      <c r="R265" s="72">
        <v>1400</v>
      </c>
      <c r="S265" s="72"/>
      <c r="T265" s="72"/>
      <c r="U265" s="72"/>
      <c r="V265" s="68">
        <f t="shared" si="123"/>
        <v>2496.4804480000003</v>
      </c>
      <c r="W265" s="66">
        <f t="shared" si="116"/>
        <v>2096.4804480000003</v>
      </c>
      <c r="Y265" s="14">
        <f t="shared" si="117"/>
        <v>2496.4804480000003</v>
      </c>
      <c r="Z265" s="14">
        <f t="shared" si="118"/>
        <v>2096.4804480000003</v>
      </c>
    </row>
    <row r="266" spans="1:26" s="10" customFormat="1" x14ac:dyDescent="0.25">
      <c r="A266" s="38">
        <v>151</v>
      </c>
      <c r="B266" s="45">
        <v>1585782214</v>
      </c>
      <c r="C266" s="16" t="s">
        <v>467</v>
      </c>
      <c r="D266" s="16" t="s">
        <v>174</v>
      </c>
      <c r="E266" s="18" t="s">
        <v>468</v>
      </c>
      <c r="F266" s="63">
        <v>15</v>
      </c>
      <c r="G266" s="72">
        <v>253.77</v>
      </c>
      <c r="H266" s="72">
        <f t="shared" si="135"/>
        <v>3806.55</v>
      </c>
      <c r="I266" s="72">
        <v>400</v>
      </c>
      <c r="J266" s="72"/>
      <c r="K266" s="72">
        <f>VLOOKUP($H$264,Tabisr,1)</f>
        <v>3651.01</v>
      </c>
      <c r="L266" s="68">
        <f t="shared" si="132"/>
        <v>155.53999999999996</v>
      </c>
      <c r="M266" s="73">
        <f>VLOOKUP($H$264,Tabisr,4)</f>
        <v>0.16</v>
      </c>
      <c r="N266" s="64">
        <f t="shared" si="133"/>
        <v>188.119552</v>
      </c>
      <c r="O266" s="64">
        <v>121.95</v>
      </c>
      <c r="P266" s="64">
        <f>O266+N266</f>
        <v>310.06955199999999</v>
      </c>
      <c r="Q266" s="72">
        <f t="shared" si="134"/>
        <v>0</v>
      </c>
      <c r="R266" s="72">
        <v>1500</v>
      </c>
      <c r="S266" s="72"/>
      <c r="T266" s="72"/>
      <c r="U266" s="72"/>
      <c r="V266" s="68">
        <f t="shared" si="123"/>
        <v>2396.4804480000003</v>
      </c>
      <c r="W266" s="66">
        <f t="shared" si="116"/>
        <v>1996.4804480000003</v>
      </c>
      <c r="Y266" s="14">
        <f t="shared" si="117"/>
        <v>2396.4804480000003</v>
      </c>
      <c r="Z266" s="14">
        <f t="shared" si="118"/>
        <v>1996.4804480000003</v>
      </c>
    </row>
    <row r="267" spans="1:26" s="12" customFormat="1" x14ac:dyDescent="0.25">
      <c r="A267" s="35">
        <v>152</v>
      </c>
      <c r="B267" s="45">
        <v>1585782221</v>
      </c>
      <c r="C267" s="16" t="s">
        <v>585</v>
      </c>
      <c r="D267" s="16" t="s">
        <v>174</v>
      </c>
      <c r="E267" s="18" t="s">
        <v>596</v>
      </c>
      <c r="F267" s="63">
        <v>15</v>
      </c>
      <c r="G267" s="72">
        <v>253.77</v>
      </c>
      <c r="H267" s="72">
        <f>F267*G267</f>
        <v>3806.55</v>
      </c>
      <c r="I267" s="72">
        <v>400</v>
      </c>
      <c r="J267" s="72"/>
      <c r="K267" s="72">
        <f>VLOOKUP($H$264,Tabisr,1)</f>
        <v>3651.01</v>
      </c>
      <c r="L267" s="68">
        <f t="shared" si="132"/>
        <v>155.53999999999996</v>
      </c>
      <c r="M267" s="73">
        <f>VLOOKUP($H$264,Tabisr,4)</f>
        <v>0.16</v>
      </c>
      <c r="N267" s="72">
        <f t="shared" si="133"/>
        <v>188.119552</v>
      </c>
      <c r="O267" s="72">
        <v>122.95</v>
      </c>
      <c r="P267" s="72">
        <v>315.45</v>
      </c>
      <c r="Q267" s="72">
        <f t="shared" si="134"/>
        <v>0</v>
      </c>
      <c r="R267" s="72"/>
      <c r="S267" s="72"/>
      <c r="T267" s="72"/>
      <c r="U267" s="72"/>
      <c r="V267" s="68">
        <f t="shared" si="123"/>
        <v>3891.1000000000004</v>
      </c>
      <c r="W267" s="68">
        <f t="shared" si="116"/>
        <v>3491.1000000000004</v>
      </c>
      <c r="Y267" s="14">
        <f t="shared" si="117"/>
        <v>3891.1000000000004</v>
      </c>
      <c r="Z267" s="14">
        <f t="shared" si="118"/>
        <v>3491.1000000000004</v>
      </c>
    </row>
    <row r="268" spans="1:26" s="12" customFormat="1" x14ac:dyDescent="0.25">
      <c r="A268" s="231">
        <v>153</v>
      </c>
      <c r="B268" s="232"/>
      <c r="C268" s="233" t="s">
        <v>458</v>
      </c>
      <c r="D268" s="233" t="s">
        <v>174</v>
      </c>
      <c r="E268" s="234"/>
      <c r="F268" s="114">
        <v>15</v>
      </c>
      <c r="G268" s="235">
        <v>253.77</v>
      </c>
      <c r="H268" s="235"/>
      <c r="I268" s="235"/>
      <c r="J268" s="115"/>
      <c r="K268" s="235"/>
      <c r="L268" s="236"/>
      <c r="M268" s="237"/>
      <c r="N268" s="235"/>
      <c r="O268" s="235"/>
      <c r="P268" s="235"/>
      <c r="Q268" s="235"/>
      <c r="R268" s="235"/>
      <c r="S268" s="235"/>
      <c r="T268" s="235"/>
      <c r="U268" s="235"/>
      <c r="V268" s="236"/>
      <c r="W268" s="236"/>
      <c r="Y268" s="14">
        <f t="shared" si="117"/>
        <v>0</v>
      </c>
      <c r="Z268" s="14">
        <f t="shared" si="118"/>
        <v>0</v>
      </c>
    </row>
    <row r="269" spans="1:26" s="10" customFormat="1" x14ac:dyDescent="0.25">
      <c r="A269" s="35">
        <v>154</v>
      </c>
      <c r="B269" s="45">
        <v>1585782247</v>
      </c>
      <c r="C269" s="16" t="s">
        <v>206</v>
      </c>
      <c r="D269" s="16" t="s">
        <v>173</v>
      </c>
      <c r="E269" s="18" t="s">
        <v>241</v>
      </c>
      <c r="F269" s="63">
        <v>15</v>
      </c>
      <c r="G269" s="72">
        <v>253.77</v>
      </c>
      <c r="H269" s="72">
        <f t="shared" si="135"/>
        <v>3806.55</v>
      </c>
      <c r="I269" s="72">
        <v>400</v>
      </c>
      <c r="J269" s="72"/>
      <c r="K269" s="72">
        <f>VLOOKUP($H$269,Tabisr,1)</f>
        <v>3651.01</v>
      </c>
      <c r="L269" s="68">
        <f t="shared" si="132"/>
        <v>155.53999999999996</v>
      </c>
      <c r="M269" s="73">
        <f>VLOOKUP($H$269,Tabisr,4)</f>
        <v>0.16</v>
      </c>
      <c r="N269" s="64">
        <f t="shared" si="133"/>
        <v>188.119552</v>
      </c>
      <c r="O269" s="64">
        <v>121.95</v>
      </c>
      <c r="P269" s="64">
        <f t="shared" si="129"/>
        <v>310.06955199999999</v>
      </c>
      <c r="Q269" s="72">
        <f>VLOOKUP($H$263,Tabsub,3)</f>
        <v>0</v>
      </c>
      <c r="R269" s="72"/>
      <c r="S269" s="72"/>
      <c r="T269" s="72"/>
      <c r="U269" s="72"/>
      <c r="V269" s="68">
        <f t="shared" si="123"/>
        <v>3896.4804480000003</v>
      </c>
      <c r="W269" s="66">
        <f t="shared" si="116"/>
        <v>3496.4804480000003</v>
      </c>
      <c r="Y269" s="14">
        <f t="shared" si="117"/>
        <v>3896.4804480000003</v>
      </c>
      <c r="Z269" s="14">
        <f t="shared" si="118"/>
        <v>3496.4804480000003</v>
      </c>
    </row>
    <row r="270" spans="1:26" s="10" customFormat="1" x14ac:dyDescent="0.25">
      <c r="A270" s="38">
        <v>155</v>
      </c>
      <c r="B270" s="45">
        <v>1585782255</v>
      </c>
      <c r="C270" s="16" t="s">
        <v>570</v>
      </c>
      <c r="D270" s="16" t="s">
        <v>422</v>
      </c>
      <c r="E270" s="18" t="s">
        <v>571</v>
      </c>
      <c r="F270" s="63">
        <v>15</v>
      </c>
      <c r="G270" s="72">
        <v>253.77</v>
      </c>
      <c r="H270" s="72">
        <f t="shared" si="135"/>
        <v>3806.55</v>
      </c>
      <c r="I270" s="72">
        <v>400</v>
      </c>
      <c r="J270" s="72"/>
      <c r="K270" s="72">
        <f>VLOOKUP($H$264,Tabisr,1)</f>
        <v>3651.01</v>
      </c>
      <c r="L270" s="68">
        <f t="shared" si="132"/>
        <v>155.53999999999996</v>
      </c>
      <c r="M270" s="73">
        <f>VLOOKUP($H$264,Tabisr,4)</f>
        <v>0.16</v>
      </c>
      <c r="N270" s="72">
        <f t="shared" si="133"/>
        <v>188.119552</v>
      </c>
      <c r="O270" s="72">
        <v>121.95</v>
      </c>
      <c r="P270" s="72">
        <f>O270+N270</f>
        <v>310.06955199999999</v>
      </c>
      <c r="Q270" s="72">
        <f>VLOOKUP($H$263,Tabsub,3)</f>
        <v>0</v>
      </c>
      <c r="R270" s="72"/>
      <c r="S270" s="72"/>
      <c r="T270" s="72"/>
      <c r="U270" s="72"/>
      <c r="V270" s="68">
        <f t="shared" si="123"/>
        <v>3896.4804480000003</v>
      </c>
      <c r="W270" s="68">
        <f t="shared" si="116"/>
        <v>3496.4804480000003</v>
      </c>
      <c r="Y270" s="14">
        <f t="shared" si="117"/>
        <v>3896.4804480000003</v>
      </c>
      <c r="Z270" s="14">
        <f t="shared" si="118"/>
        <v>3496.4804480000003</v>
      </c>
    </row>
    <row r="271" spans="1:26" s="10" customFormat="1" x14ac:dyDescent="0.25">
      <c r="A271" s="35">
        <v>156</v>
      </c>
      <c r="B271" s="45">
        <v>1585782263</v>
      </c>
      <c r="C271" s="16" t="s">
        <v>56</v>
      </c>
      <c r="D271" s="16" t="s">
        <v>173</v>
      </c>
      <c r="E271" s="18" t="s">
        <v>139</v>
      </c>
      <c r="F271" s="63">
        <v>15</v>
      </c>
      <c r="G271" s="72">
        <v>253.77</v>
      </c>
      <c r="H271" s="72">
        <f>F271*G271</f>
        <v>3806.55</v>
      </c>
      <c r="I271" s="72">
        <v>400</v>
      </c>
      <c r="J271" s="72"/>
      <c r="K271" s="72">
        <f>VLOOKUP($H$271,Tabisr,1)</f>
        <v>3651.01</v>
      </c>
      <c r="L271" s="68">
        <f t="shared" si="132"/>
        <v>155.53999999999996</v>
      </c>
      <c r="M271" s="73">
        <f>VLOOKUP($H$271,Tabisr,4)</f>
        <v>0.16</v>
      </c>
      <c r="N271" s="64">
        <f t="shared" si="133"/>
        <v>188.119552</v>
      </c>
      <c r="O271" s="64">
        <v>121.95</v>
      </c>
      <c r="P271" s="64">
        <f>O271+N271</f>
        <v>310.06955199999999</v>
      </c>
      <c r="Q271" s="72">
        <f>VLOOKUP($H$263,Tabsub,3)</f>
        <v>0</v>
      </c>
      <c r="R271" s="72"/>
      <c r="S271" s="72"/>
      <c r="T271" s="72"/>
      <c r="U271" s="72"/>
      <c r="V271" s="68">
        <f t="shared" si="123"/>
        <v>3896.4804480000003</v>
      </c>
      <c r="W271" s="66">
        <f t="shared" si="116"/>
        <v>3496.4804480000003</v>
      </c>
      <c r="Y271" s="14">
        <f t="shared" si="117"/>
        <v>3896.4804480000003</v>
      </c>
      <c r="Z271" s="14">
        <f t="shared" si="118"/>
        <v>3496.4804480000003</v>
      </c>
    </row>
    <row r="272" spans="1:26" s="10" customFormat="1" x14ac:dyDescent="0.25">
      <c r="A272" s="35">
        <v>157</v>
      </c>
      <c r="B272" s="45">
        <v>1585782280</v>
      </c>
      <c r="C272" s="16" t="s">
        <v>57</v>
      </c>
      <c r="D272" s="16" t="s">
        <v>172</v>
      </c>
      <c r="E272" s="18" t="s">
        <v>140</v>
      </c>
      <c r="F272" s="63">
        <v>15</v>
      </c>
      <c r="G272" s="72">
        <v>253.77</v>
      </c>
      <c r="H272" s="72">
        <f>F272*G272</f>
        <v>3806.55</v>
      </c>
      <c r="I272" s="72">
        <v>400</v>
      </c>
      <c r="J272" s="72"/>
      <c r="K272" s="72">
        <f>VLOOKUP($H$272,Tabisr,1)</f>
        <v>3651.01</v>
      </c>
      <c r="L272" s="68">
        <f t="shared" si="132"/>
        <v>155.53999999999996</v>
      </c>
      <c r="M272" s="73">
        <f>VLOOKUP($H$272,Tabisr,4)</f>
        <v>0.16</v>
      </c>
      <c r="N272" s="72">
        <f t="shared" si="133"/>
        <v>188.119552</v>
      </c>
      <c r="O272" s="72">
        <v>121.95</v>
      </c>
      <c r="P272" s="72">
        <f>O272+N272</f>
        <v>310.06955199999999</v>
      </c>
      <c r="Q272" s="72">
        <f>VLOOKUP($H$263,Tabsub,3)</f>
        <v>0</v>
      </c>
      <c r="R272" s="72">
        <v>1050</v>
      </c>
      <c r="S272" s="72"/>
      <c r="T272" s="72"/>
      <c r="U272" s="72">
        <v>300</v>
      </c>
      <c r="V272" s="68">
        <f t="shared" si="123"/>
        <v>2546.4804480000003</v>
      </c>
      <c r="W272" s="68">
        <f t="shared" si="116"/>
        <v>2146.4804480000003</v>
      </c>
      <c r="Y272" s="14">
        <f t="shared" si="117"/>
        <v>2546.4804480000003</v>
      </c>
      <c r="Z272" s="14">
        <f t="shared" si="118"/>
        <v>2146.4804480000003</v>
      </c>
    </row>
    <row r="273" spans="1:26" s="10" customFormat="1" x14ac:dyDescent="0.25">
      <c r="A273" s="35">
        <v>158</v>
      </c>
      <c r="B273" s="45">
        <v>1585782298</v>
      </c>
      <c r="C273" s="16" t="s">
        <v>58</v>
      </c>
      <c r="D273" s="151" t="s">
        <v>172</v>
      </c>
      <c r="E273" s="152" t="s">
        <v>141</v>
      </c>
      <c r="F273" s="63">
        <v>15</v>
      </c>
      <c r="G273" s="72">
        <v>253.77</v>
      </c>
      <c r="H273" s="64">
        <f>F273*G273</f>
        <v>3806.55</v>
      </c>
      <c r="I273" s="64">
        <v>400</v>
      </c>
      <c r="J273" s="72"/>
      <c r="K273" s="64">
        <f>VLOOKUP($H$273,Tabisr,1)</f>
        <v>3651.01</v>
      </c>
      <c r="L273" s="66">
        <f t="shared" si="132"/>
        <v>155.53999999999996</v>
      </c>
      <c r="M273" s="67">
        <f>VLOOKUP($H$273,Tabisr,4)</f>
        <v>0.16</v>
      </c>
      <c r="N273" s="64">
        <f t="shared" si="133"/>
        <v>188.119552</v>
      </c>
      <c r="O273" s="64">
        <v>121.95</v>
      </c>
      <c r="P273" s="64">
        <f>O273+N273</f>
        <v>310.06955199999999</v>
      </c>
      <c r="Q273" s="72">
        <f>VLOOKUP($H$263,Tabsub,3)</f>
        <v>0</v>
      </c>
      <c r="R273" s="64"/>
      <c r="S273" s="64"/>
      <c r="T273" s="64"/>
      <c r="U273" s="72"/>
      <c r="V273" s="68">
        <f t="shared" si="123"/>
        <v>3896.4804480000003</v>
      </c>
      <c r="W273" s="66">
        <f t="shared" si="116"/>
        <v>3496.4804480000003</v>
      </c>
      <c r="Y273" s="14">
        <f t="shared" si="117"/>
        <v>3896.4804480000003</v>
      </c>
      <c r="Z273" s="14">
        <f t="shared" si="118"/>
        <v>3496.4804480000003</v>
      </c>
    </row>
    <row r="274" spans="1:26" s="10" customFormat="1" x14ac:dyDescent="0.25">
      <c r="A274" s="32"/>
      <c r="B274" s="50"/>
      <c r="C274" s="159"/>
      <c r="D274" s="160"/>
      <c r="E274" s="213"/>
      <c r="F274" s="84"/>
      <c r="G274" s="84"/>
      <c r="H274" s="85">
        <f>+SUM(H240:H273)</f>
        <v>140086.35</v>
      </c>
      <c r="I274" s="193">
        <f>+SUM(I240:I273)</f>
        <v>12800</v>
      </c>
      <c r="J274" s="193">
        <f t="shared" ref="J274:W274" si="136">+SUM(J240:J273)</f>
        <v>0</v>
      </c>
      <c r="K274" s="193">
        <f t="shared" si="136"/>
        <v>127738.32999999993</v>
      </c>
      <c r="L274" s="193">
        <f t="shared" si="136"/>
        <v>12348.020000000004</v>
      </c>
      <c r="M274" s="193">
        <f t="shared" si="136"/>
        <v>5.5368000000000022</v>
      </c>
      <c r="N274" s="193">
        <f t="shared" si="136"/>
        <v>5477.1314240000011</v>
      </c>
      <c r="O274" s="193">
        <f t="shared" si="136"/>
        <v>7595.7999999999975</v>
      </c>
      <c r="P274" s="193">
        <f t="shared" si="136"/>
        <v>13043.419472000009</v>
      </c>
      <c r="Q274" s="193">
        <f t="shared" si="136"/>
        <v>0</v>
      </c>
      <c r="R274" s="193">
        <f t="shared" si="136"/>
        <v>12110</v>
      </c>
      <c r="S274" s="193">
        <f t="shared" si="136"/>
        <v>4996</v>
      </c>
      <c r="T274" s="193">
        <f t="shared" si="136"/>
        <v>0</v>
      </c>
      <c r="U274" s="193">
        <f t="shared" si="136"/>
        <v>600</v>
      </c>
      <c r="V274" s="193">
        <f t="shared" si="136"/>
        <v>122136.93052800001</v>
      </c>
      <c r="W274" s="193">
        <f t="shared" si="136"/>
        <v>109336.93052800001</v>
      </c>
      <c r="Y274" s="15">
        <f>+SUM(Y240:Y273)</f>
        <v>122136.93052800001</v>
      </c>
      <c r="Z274" s="15">
        <f>+SUM(Z240:Z273)</f>
        <v>109336.93052800001</v>
      </c>
    </row>
    <row r="275" spans="1:26" s="10" customFormat="1" x14ac:dyDescent="0.25">
      <c r="A275" s="32"/>
      <c r="B275" s="50"/>
      <c r="C275" s="159"/>
      <c r="D275" s="160"/>
      <c r="E275" s="213"/>
      <c r="F275" s="84"/>
      <c r="G275" s="84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Y275" s="15"/>
      <c r="Z275" s="15"/>
    </row>
    <row r="276" spans="1:26" s="10" customFormat="1" ht="18.75" customHeight="1" x14ac:dyDescent="0.25">
      <c r="A276" s="278" t="s">
        <v>400</v>
      </c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Y276" s="14"/>
      <c r="Z276" s="14"/>
    </row>
    <row r="277" spans="1:26" ht="32.25" customHeight="1" x14ac:dyDescent="0.25">
      <c r="A277" s="29" t="s">
        <v>69</v>
      </c>
      <c r="B277" s="223" t="s">
        <v>584</v>
      </c>
      <c r="C277" s="29" t="s">
        <v>17</v>
      </c>
      <c r="D277" s="29" t="s">
        <v>161</v>
      </c>
      <c r="E277" s="29" t="s">
        <v>143</v>
      </c>
      <c r="F277" s="29" t="s">
        <v>27</v>
      </c>
      <c r="G277" s="29" t="s">
        <v>19</v>
      </c>
      <c r="H277" s="29" t="s">
        <v>18</v>
      </c>
      <c r="I277" s="29" t="s">
        <v>66</v>
      </c>
      <c r="J277" s="29" t="s">
        <v>74</v>
      </c>
      <c r="K277" s="47" t="s">
        <v>301</v>
      </c>
      <c r="L277" s="47" t="s">
        <v>302</v>
      </c>
      <c r="M277" s="47" t="s">
        <v>303</v>
      </c>
      <c r="N277" s="47" t="s">
        <v>304</v>
      </c>
      <c r="O277" s="29" t="s">
        <v>305</v>
      </c>
      <c r="P277" s="29" t="s">
        <v>67</v>
      </c>
      <c r="Q277" s="29" t="s">
        <v>68</v>
      </c>
      <c r="R277" s="29" t="s">
        <v>20</v>
      </c>
      <c r="S277" s="29" t="s">
        <v>452</v>
      </c>
      <c r="T277" s="29" t="s">
        <v>72</v>
      </c>
      <c r="U277" s="29" t="s">
        <v>157</v>
      </c>
      <c r="V277" s="29" t="s">
        <v>155</v>
      </c>
      <c r="W277" s="29" t="s">
        <v>156</v>
      </c>
      <c r="Y277" s="14"/>
      <c r="Z277" s="14"/>
    </row>
    <row r="278" spans="1:26" s="10" customFormat="1" x14ac:dyDescent="0.25">
      <c r="A278" s="30">
        <v>159</v>
      </c>
      <c r="B278" s="45">
        <v>1585782302</v>
      </c>
      <c r="C278" s="16" t="s">
        <v>229</v>
      </c>
      <c r="D278" s="18" t="s">
        <v>218</v>
      </c>
      <c r="E278" s="18" t="s">
        <v>230</v>
      </c>
      <c r="F278" s="63">
        <v>15</v>
      </c>
      <c r="G278" s="72">
        <v>312.26</v>
      </c>
      <c r="H278" s="72">
        <f>F278*G278</f>
        <v>4683.8999999999996</v>
      </c>
      <c r="I278" s="72">
        <v>400</v>
      </c>
      <c r="J278" s="72"/>
      <c r="K278" s="72">
        <f>VLOOKUP($H$69,Tabisr,1)</f>
        <v>5081.01</v>
      </c>
      <c r="L278" s="68">
        <f>+H278-K278</f>
        <v>-397.11000000000058</v>
      </c>
      <c r="M278" s="73">
        <f>VLOOKUP($H$69,Tabisr,4)</f>
        <v>0.21360000000000001</v>
      </c>
      <c r="N278" s="72">
        <f>(H278-4244.01)*17.92%</f>
        <v>78.828287999999901</v>
      </c>
      <c r="O278" s="72">
        <v>388.05</v>
      </c>
      <c r="P278" s="72">
        <f>N278+O278</f>
        <v>466.87828799999988</v>
      </c>
      <c r="Q278" s="72">
        <f>VLOOKUP($H$69,Tabsub,3)</f>
        <v>0</v>
      </c>
      <c r="R278" s="72"/>
      <c r="S278" s="72">
        <v>1062</v>
      </c>
      <c r="T278" s="72">
        <v>1540.2</v>
      </c>
      <c r="U278" s="72"/>
      <c r="V278" s="68">
        <f>H278+I278+J278-P278+Q278-R278-S278-T278-U278</f>
        <v>2014.8217119999997</v>
      </c>
      <c r="W278" s="68">
        <f>V278-I278</f>
        <v>1614.8217119999997</v>
      </c>
      <c r="Y278" s="14">
        <f>+H278+I278+J278+Q278-P278-R278-S278-T278-U278</f>
        <v>2014.8217119999997</v>
      </c>
      <c r="Z278" s="14">
        <f>+V278-I278</f>
        <v>1614.8217119999997</v>
      </c>
    </row>
    <row r="279" spans="1:26" s="10" customFormat="1" x14ac:dyDescent="0.25">
      <c r="A279" s="39"/>
      <c r="B279" s="53"/>
      <c r="C279" s="166"/>
      <c r="D279" s="168"/>
      <c r="E279" s="214"/>
      <c r="F279" s="43"/>
      <c r="G279" s="43"/>
      <c r="H279" s="112">
        <f>+H278</f>
        <v>4683.8999999999996</v>
      </c>
      <c r="I279" s="112">
        <f t="shared" ref="I279:W279" si="137">+I278</f>
        <v>400</v>
      </c>
      <c r="J279" s="112">
        <f t="shared" si="137"/>
        <v>0</v>
      </c>
      <c r="K279" s="112">
        <f t="shared" si="137"/>
        <v>5081.01</v>
      </c>
      <c r="L279" s="112">
        <f t="shared" si="137"/>
        <v>-397.11000000000058</v>
      </c>
      <c r="M279" s="112">
        <f t="shared" si="137"/>
        <v>0.21360000000000001</v>
      </c>
      <c r="N279" s="112">
        <f t="shared" si="137"/>
        <v>78.828287999999901</v>
      </c>
      <c r="O279" s="112">
        <f t="shared" si="137"/>
        <v>388.05</v>
      </c>
      <c r="P279" s="112">
        <f t="shared" si="137"/>
        <v>466.87828799999988</v>
      </c>
      <c r="Q279" s="112">
        <f t="shared" si="137"/>
        <v>0</v>
      </c>
      <c r="R279" s="112">
        <f t="shared" si="137"/>
        <v>0</v>
      </c>
      <c r="S279" s="112">
        <f t="shared" si="137"/>
        <v>1062</v>
      </c>
      <c r="T279" s="112">
        <f t="shared" si="137"/>
        <v>1540.2</v>
      </c>
      <c r="U279" s="112">
        <f t="shared" si="137"/>
        <v>0</v>
      </c>
      <c r="V279" s="112">
        <f t="shared" si="137"/>
        <v>2014.8217119999997</v>
      </c>
      <c r="W279" s="112">
        <f t="shared" si="137"/>
        <v>1614.8217119999997</v>
      </c>
      <c r="Y279" s="15">
        <f>+Y278</f>
        <v>2014.8217119999997</v>
      </c>
      <c r="Z279" s="15">
        <f>+Z278</f>
        <v>1614.8217119999997</v>
      </c>
    </row>
    <row r="280" spans="1:26" s="10" customFormat="1" x14ac:dyDescent="0.25">
      <c r="A280" s="39"/>
      <c r="B280" s="53"/>
      <c r="C280" s="166"/>
      <c r="D280" s="168"/>
      <c r="E280" s="214"/>
      <c r="F280" s="43"/>
      <c r="G280" s="4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Y280" s="15"/>
      <c r="Z280" s="15"/>
    </row>
    <row r="281" spans="1:26" s="10" customFormat="1" x14ac:dyDescent="0.25">
      <c r="A281" s="39"/>
      <c r="B281" s="53"/>
      <c r="C281" s="166"/>
      <c r="D281" s="168"/>
      <c r="E281" s="214"/>
      <c r="F281" s="43"/>
      <c r="G281" s="4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Y281" s="14"/>
      <c r="Z281" s="14"/>
    </row>
    <row r="282" spans="1:26" ht="18.75" x14ac:dyDescent="0.25">
      <c r="A282" s="266" t="s">
        <v>263</v>
      </c>
      <c r="B282" s="266"/>
      <c r="C282" s="266"/>
      <c r="D282" s="266"/>
      <c r="E282" s="266"/>
      <c r="F282" s="266"/>
      <c r="G282" s="266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Y282" s="14"/>
      <c r="Z282" s="14"/>
    </row>
    <row r="283" spans="1:26" ht="39.75" customHeight="1" x14ac:dyDescent="0.25">
      <c r="A283" s="29" t="s">
        <v>69</v>
      </c>
      <c r="B283" s="223" t="s">
        <v>584</v>
      </c>
      <c r="C283" s="29" t="s">
        <v>17</v>
      </c>
      <c r="D283" s="29" t="s">
        <v>161</v>
      </c>
      <c r="E283" s="29" t="s">
        <v>143</v>
      </c>
      <c r="F283" s="29" t="s">
        <v>27</v>
      </c>
      <c r="G283" s="29" t="s">
        <v>19</v>
      </c>
      <c r="H283" s="29" t="s">
        <v>18</v>
      </c>
      <c r="I283" s="29" t="s">
        <v>66</v>
      </c>
      <c r="J283" s="29" t="s">
        <v>74</v>
      </c>
      <c r="K283" s="47" t="s">
        <v>301</v>
      </c>
      <c r="L283" s="47" t="s">
        <v>302</v>
      </c>
      <c r="M283" s="47" t="s">
        <v>303</v>
      </c>
      <c r="N283" s="47" t="s">
        <v>304</v>
      </c>
      <c r="O283" s="29" t="s">
        <v>305</v>
      </c>
      <c r="P283" s="29" t="s">
        <v>67</v>
      </c>
      <c r="Q283" s="29" t="s">
        <v>68</v>
      </c>
      <c r="R283" s="29" t="s">
        <v>20</v>
      </c>
      <c r="S283" s="29" t="s">
        <v>452</v>
      </c>
      <c r="T283" s="29" t="s">
        <v>72</v>
      </c>
      <c r="U283" s="29" t="s">
        <v>157</v>
      </c>
      <c r="V283" s="29" t="s">
        <v>155</v>
      </c>
      <c r="W283" s="29" t="s">
        <v>156</v>
      </c>
      <c r="Y283" s="14"/>
      <c r="Z283" s="14"/>
    </row>
    <row r="284" spans="1:26" x14ac:dyDescent="0.25">
      <c r="A284" s="30">
        <v>160</v>
      </c>
      <c r="B284" s="45">
        <v>1585782310</v>
      </c>
      <c r="C284" s="16" t="s">
        <v>212</v>
      </c>
      <c r="D284" s="16" t="s">
        <v>263</v>
      </c>
      <c r="E284" s="18" t="s">
        <v>250</v>
      </c>
      <c r="F284" s="63">
        <v>6</v>
      </c>
      <c r="G284" s="72">
        <v>337.04</v>
      </c>
      <c r="H284" s="72">
        <f>F284*G284</f>
        <v>2022.2400000000002</v>
      </c>
      <c r="I284" s="72">
        <v>400</v>
      </c>
      <c r="J284" s="72"/>
      <c r="K284" s="72">
        <f>VLOOKUP($H$284,Tabisr,1)</f>
        <v>244.81</v>
      </c>
      <c r="L284" s="68">
        <f>+H284-K284</f>
        <v>1777.4300000000003</v>
      </c>
      <c r="M284" s="73">
        <f>VLOOKUP($H$284,Tabisr,4)</f>
        <v>6.4000000000000001E-2</v>
      </c>
      <c r="N284" s="72">
        <f>(H284-4244.01)*17.92%</f>
        <v>-398.14118400000007</v>
      </c>
      <c r="O284" s="72">
        <v>388.05</v>
      </c>
      <c r="P284" s="72">
        <f>N284+O284</f>
        <v>-10.091184000000055</v>
      </c>
      <c r="Q284" s="72">
        <f>VLOOKUP($H$69,Tabsub,3)</f>
        <v>0</v>
      </c>
      <c r="R284" s="72"/>
      <c r="S284" s="72"/>
      <c r="T284" s="72"/>
      <c r="U284" s="72"/>
      <c r="V284" s="68">
        <f>H284+I284+J284-P284+Q284-R284-S284-T284-U284</f>
        <v>2432.3311840000001</v>
      </c>
      <c r="W284" s="68">
        <f>V284-I284</f>
        <v>2032.3311840000001</v>
      </c>
      <c r="Y284" s="14">
        <f>+H284+I284+J284+Q284-P284-R284-S284-T284-U284</f>
        <v>2432.3311840000001</v>
      </c>
      <c r="Z284" s="14">
        <f>+V284-I284</f>
        <v>2032.3311840000001</v>
      </c>
    </row>
    <row r="285" spans="1:26" ht="18" x14ac:dyDescent="0.25">
      <c r="A285" s="30">
        <v>161</v>
      </c>
      <c r="B285" s="45">
        <v>2859167285</v>
      </c>
      <c r="C285" s="16" t="s">
        <v>442</v>
      </c>
      <c r="D285" s="158" t="s">
        <v>443</v>
      </c>
      <c r="E285" s="18" t="s">
        <v>444</v>
      </c>
      <c r="F285" s="63">
        <v>15</v>
      </c>
      <c r="G285" s="72">
        <v>337.04</v>
      </c>
      <c r="H285" s="72">
        <f>F285*G285</f>
        <v>5055.6000000000004</v>
      </c>
      <c r="I285" s="72">
        <v>400</v>
      </c>
      <c r="J285" s="72"/>
      <c r="K285" s="72">
        <f>VLOOKUP($H$284,Tabisr,1)</f>
        <v>244.81</v>
      </c>
      <c r="L285" s="68">
        <f>+H285-K285</f>
        <v>4810.79</v>
      </c>
      <c r="M285" s="73">
        <f>VLOOKUP($H$284,Tabisr,4)</f>
        <v>6.4000000000000001E-2</v>
      </c>
      <c r="N285" s="72">
        <f>(H285-4244.01)*17.92%</f>
        <v>145.43692800000005</v>
      </c>
      <c r="O285" s="72">
        <v>388.05</v>
      </c>
      <c r="P285" s="72">
        <f>N285+O285</f>
        <v>533.48692800000003</v>
      </c>
      <c r="Q285" s="72">
        <f>VLOOKUP($H$69,Tabsub,3)</f>
        <v>0</v>
      </c>
      <c r="R285" s="72"/>
      <c r="S285" s="72"/>
      <c r="T285" s="72"/>
      <c r="U285" s="72"/>
      <c r="V285" s="68">
        <f>H285+I285+J285-P285+Q285-R285-S285-T285-U285</f>
        <v>4922.1130720000001</v>
      </c>
      <c r="W285" s="68">
        <f>V285-I285</f>
        <v>4522.1130720000001</v>
      </c>
      <c r="Y285" s="14">
        <f>+H285+I285+J285+Q285-P285-R285-S285-T285-U285</f>
        <v>4922.1130720000001</v>
      </c>
      <c r="Z285" s="14">
        <f>+V285-I285</f>
        <v>4522.1130720000001</v>
      </c>
    </row>
    <row r="286" spans="1:26" x14ac:dyDescent="0.25">
      <c r="A286" s="40"/>
      <c r="B286" s="54"/>
      <c r="C286" s="153"/>
      <c r="D286" s="153"/>
      <c r="E286" s="26"/>
      <c r="F286" s="69"/>
      <c r="G286" s="70"/>
      <c r="H286" s="71">
        <f>+SUM(H284:H285)</f>
        <v>7077.84</v>
      </c>
      <c r="I286" s="71">
        <f>+SUM(I284:I285)</f>
        <v>800</v>
      </c>
      <c r="J286" s="71">
        <f t="shared" ref="J286:W286" si="138">+SUM(J284:J285)</f>
        <v>0</v>
      </c>
      <c r="K286" s="71">
        <f t="shared" si="138"/>
        <v>489.62</v>
      </c>
      <c r="L286" s="71">
        <f t="shared" si="138"/>
        <v>6588.22</v>
      </c>
      <c r="M286" s="71">
        <f t="shared" si="138"/>
        <v>0.128</v>
      </c>
      <c r="N286" s="71">
        <f t="shared" si="138"/>
        <v>-252.70425600000002</v>
      </c>
      <c r="O286" s="71">
        <f t="shared" si="138"/>
        <v>776.1</v>
      </c>
      <c r="P286" s="71">
        <f t="shared" si="138"/>
        <v>523.39574399999992</v>
      </c>
      <c r="Q286" s="71">
        <f t="shared" si="138"/>
        <v>0</v>
      </c>
      <c r="R286" s="71">
        <f t="shared" si="138"/>
        <v>0</v>
      </c>
      <c r="S286" s="71">
        <f t="shared" si="138"/>
        <v>0</v>
      </c>
      <c r="T286" s="71">
        <f t="shared" si="138"/>
        <v>0</v>
      </c>
      <c r="U286" s="71">
        <f t="shared" si="138"/>
        <v>0</v>
      </c>
      <c r="V286" s="71">
        <f t="shared" si="138"/>
        <v>7354.4442560000007</v>
      </c>
      <c r="W286" s="71">
        <f t="shared" si="138"/>
        <v>6554.4442560000007</v>
      </c>
      <c r="Y286" s="15">
        <f>+SUM(Y284:Y285)</f>
        <v>7354.4442560000007</v>
      </c>
      <c r="Z286" s="15">
        <f>+SUM(Z284:Z285)</f>
        <v>6554.4442560000007</v>
      </c>
    </row>
    <row r="287" spans="1:26" ht="18.75" x14ac:dyDescent="0.25">
      <c r="A287" s="266" t="s">
        <v>401</v>
      </c>
      <c r="B287" s="266"/>
      <c r="C287" s="266"/>
      <c r="D287" s="266"/>
      <c r="E287" s="266"/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Y287" s="14"/>
      <c r="Z287" s="14"/>
    </row>
    <row r="288" spans="1:26" ht="35.25" customHeight="1" x14ac:dyDescent="0.25">
      <c r="A288" s="29" t="s">
        <v>69</v>
      </c>
      <c r="B288" s="223" t="s">
        <v>584</v>
      </c>
      <c r="C288" s="29" t="s">
        <v>17</v>
      </c>
      <c r="D288" s="29" t="s">
        <v>161</v>
      </c>
      <c r="E288" s="29" t="s">
        <v>143</v>
      </c>
      <c r="F288" s="29" t="s">
        <v>27</v>
      </c>
      <c r="G288" s="29" t="s">
        <v>19</v>
      </c>
      <c r="H288" s="29" t="s">
        <v>18</v>
      </c>
      <c r="I288" s="29" t="s">
        <v>66</v>
      </c>
      <c r="J288" s="29" t="s">
        <v>74</v>
      </c>
      <c r="K288" s="47" t="s">
        <v>301</v>
      </c>
      <c r="L288" s="47" t="s">
        <v>302</v>
      </c>
      <c r="M288" s="47" t="s">
        <v>303</v>
      </c>
      <c r="N288" s="47" t="s">
        <v>304</v>
      </c>
      <c r="O288" s="29" t="s">
        <v>305</v>
      </c>
      <c r="P288" s="29" t="s">
        <v>67</v>
      </c>
      <c r="Q288" s="29" t="s">
        <v>68</v>
      </c>
      <c r="R288" s="29" t="s">
        <v>20</v>
      </c>
      <c r="S288" s="29" t="s">
        <v>452</v>
      </c>
      <c r="T288" s="29" t="s">
        <v>72</v>
      </c>
      <c r="U288" s="29" t="s">
        <v>157</v>
      </c>
      <c r="V288" s="29" t="s">
        <v>155</v>
      </c>
      <c r="W288" s="29" t="s">
        <v>156</v>
      </c>
      <c r="Y288" s="14"/>
      <c r="Z288" s="14"/>
    </row>
    <row r="289" spans="1:26" x14ac:dyDescent="0.25">
      <c r="A289" s="30">
        <v>162</v>
      </c>
      <c r="B289" s="45">
        <v>1585782328</v>
      </c>
      <c r="C289" s="16" t="s">
        <v>416</v>
      </c>
      <c r="D289" s="16" t="s">
        <v>560</v>
      </c>
      <c r="E289" s="18" t="s">
        <v>308</v>
      </c>
      <c r="F289" s="63">
        <v>15</v>
      </c>
      <c r="G289" s="72">
        <v>661.33</v>
      </c>
      <c r="H289" s="72">
        <f t="shared" ref="H289:H294" si="139">F289*G289</f>
        <v>9919.9500000000007</v>
      </c>
      <c r="I289" s="72"/>
      <c r="J289" s="72"/>
      <c r="K289" s="72">
        <f>VLOOKUP($H$215,Tabisr,1)</f>
        <v>5081.01</v>
      </c>
      <c r="L289" s="68">
        <f t="shared" ref="L289:L294" si="140">+H289-K289</f>
        <v>4838.9400000000005</v>
      </c>
      <c r="M289" s="73">
        <f>VLOOKUP($H$215,Tabisr,4)</f>
        <v>0.21360000000000001</v>
      </c>
      <c r="N289" s="72">
        <f>(H289-5081.01)*21.36%</f>
        <v>1033.5975840000001</v>
      </c>
      <c r="O289" s="72">
        <v>538.20000000000005</v>
      </c>
      <c r="P289" s="72">
        <f t="shared" ref="P289:P294" si="141">N289+O289</f>
        <v>1571.7975840000001</v>
      </c>
      <c r="Q289" s="72">
        <f>VLOOKUP($H$215,Tabsub,3)</f>
        <v>0</v>
      </c>
      <c r="R289" s="72">
        <v>3700</v>
      </c>
      <c r="S289" s="72"/>
      <c r="T289" s="72"/>
      <c r="U289" s="72"/>
      <c r="V289" s="68">
        <f t="shared" ref="V289:V294" si="142">H289+I289+J289-P289+Q289-R289-S289-T289-U289</f>
        <v>4648.1524160000008</v>
      </c>
      <c r="W289" s="68">
        <f t="shared" ref="W289:W294" si="143">V289-I289</f>
        <v>4648.1524160000008</v>
      </c>
      <c r="Y289" s="14">
        <f t="shared" ref="Y289:Y294" si="144">+H289+I289+J289+Q289-P289-R289-S289-T289-U289</f>
        <v>4648.1524160000008</v>
      </c>
      <c r="Z289" s="14">
        <f t="shared" ref="Z289:Z294" si="145">+V289-I289</f>
        <v>4648.1524160000008</v>
      </c>
    </row>
    <row r="290" spans="1:26" s="10" customFormat="1" x14ac:dyDescent="0.25">
      <c r="A290" s="31">
        <v>163</v>
      </c>
      <c r="B290" s="45">
        <v>1585782336</v>
      </c>
      <c r="C290" s="16" t="s">
        <v>6</v>
      </c>
      <c r="D290" s="152" t="s">
        <v>175</v>
      </c>
      <c r="E290" s="185" t="s">
        <v>148</v>
      </c>
      <c r="F290" s="63">
        <v>15</v>
      </c>
      <c r="G290" s="64">
        <v>271.86</v>
      </c>
      <c r="H290" s="64">
        <f t="shared" si="139"/>
        <v>4077.9</v>
      </c>
      <c r="I290" s="64">
        <v>400</v>
      </c>
      <c r="J290" s="64"/>
      <c r="K290" s="64">
        <f>VLOOKUP($H$291,Tabisr,1)</f>
        <v>3651.01</v>
      </c>
      <c r="L290" s="66">
        <f t="shared" si="140"/>
        <v>426.88999999999987</v>
      </c>
      <c r="M290" s="67">
        <f>VLOOKUP($H$291,Tabisr,4)</f>
        <v>0.16</v>
      </c>
      <c r="N290" s="64">
        <f>(H290-3651.01)*16%</f>
        <v>68.302399999999977</v>
      </c>
      <c r="O290" s="64">
        <v>293.25</v>
      </c>
      <c r="P290" s="64">
        <f t="shared" si="141"/>
        <v>361.55239999999998</v>
      </c>
      <c r="Q290" s="64">
        <f>VLOOKUP($H$290,Tabsub,3)</f>
        <v>0</v>
      </c>
      <c r="R290" s="60"/>
      <c r="S290" s="60">
        <v>2300</v>
      </c>
      <c r="T290" s="65"/>
      <c r="U290" s="65"/>
      <c r="V290" s="68">
        <f t="shared" si="142"/>
        <v>1816.3476000000001</v>
      </c>
      <c r="W290" s="66">
        <f t="shared" si="143"/>
        <v>1416.3476000000001</v>
      </c>
      <c r="Y290" s="14">
        <f t="shared" si="144"/>
        <v>1816.3476000000001</v>
      </c>
      <c r="Z290" s="14">
        <f t="shared" si="145"/>
        <v>1416.3476000000001</v>
      </c>
    </row>
    <row r="291" spans="1:26" s="10" customFormat="1" ht="23.25" customHeight="1" x14ac:dyDescent="0.25">
      <c r="A291" s="30">
        <v>164</v>
      </c>
      <c r="B291" s="45">
        <v>1585782344</v>
      </c>
      <c r="C291" s="151" t="s">
        <v>33</v>
      </c>
      <c r="D291" s="152" t="s">
        <v>175</v>
      </c>
      <c r="E291" s="152" t="s">
        <v>104</v>
      </c>
      <c r="F291" s="63">
        <v>15</v>
      </c>
      <c r="G291" s="64">
        <v>271.86</v>
      </c>
      <c r="H291" s="64">
        <f t="shared" si="139"/>
        <v>4077.9</v>
      </c>
      <c r="I291" s="64">
        <v>400</v>
      </c>
      <c r="J291" s="64"/>
      <c r="K291" s="64">
        <f>VLOOKUP($H$291,Tabisr,1)</f>
        <v>3651.01</v>
      </c>
      <c r="L291" s="66">
        <f t="shared" si="140"/>
        <v>426.88999999999987</v>
      </c>
      <c r="M291" s="67">
        <f>VLOOKUP($H$291,Tabisr,4)</f>
        <v>0.16</v>
      </c>
      <c r="N291" s="64">
        <f>(H291-3651.01)*16%</f>
        <v>68.302399999999977</v>
      </c>
      <c r="O291" s="72">
        <v>293.25</v>
      </c>
      <c r="P291" s="64">
        <f t="shared" si="141"/>
        <v>361.55239999999998</v>
      </c>
      <c r="Q291" s="64">
        <f>VLOOKUP($H$291,Tabsub,3)</f>
        <v>0</v>
      </c>
      <c r="R291" s="64">
        <v>1050</v>
      </c>
      <c r="S291" s="64"/>
      <c r="T291" s="64"/>
      <c r="U291" s="64">
        <v>300</v>
      </c>
      <c r="V291" s="68">
        <f t="shared" si="142"/>
        <v>2766.3476000000001</v>
      </c>
      <c r="W291" s="68">
        <f t="shared" si="143"/>
        <v>2366.3476000000001</v>
      </c>
      <c r="Y291" s="14">
        <f t="shared" si="144"/>
        <v>2766.3476000000001</v>
      </c>
      <c r="Z291" s="14">
        <f t="shared" si="145"/>
        <v>2366.3476000000001</v>
      </c>
    </row>
    <row r="292" spans="1:26" x14ac:dyDescent="0.25">
      <c r="A292" s="30">
        <v>165</v>
      </c>
      <c r="B292" s="45">
        <v>2886007678</v>
      </c>
      <c r="C292" s="16" t="s">
        <v>333</v>
      </c>
      <c r="D292" s="152" t="s">
        <v>175</v>
      </c>
      <c r="E292" s="20" t="s">
        <v>334</v>
      </c>
      <c r="F292" s="63">
        <v>15</v>
      </c>
      <c r="G292" s="64">
        <v>271.86</v>
      </c>
      <c r="H292" s="64">
        <f t="shared" si="139"/>
        <v>4077.9</v>
      </c>
      <c r="I292" s="64">
        <v>400</v>
      </c>
      <c r="J292" s="64"/>
      <c r="K292" s="64">
        <f>VLOOKUP($H$291,Tabisr,1)</f>
        <v>3651.01</v>
      </c>
      <c r="L292" s="66">
        <f t="shared" si="140"/>
        <v>426.88999999999987</v>
      </c>
      <c r="M292" s="67">
        <f>VLOOKUP($H$291,Tabisr,4)</f>
        <v>0.16</v>
      </c>
      <c r="N292" s="64">
        <f>(H292-3651.01)*16%</f>
        <v>68.302399999999977</v>
      </c>
      <c r="O292" s="72">
        <v>293.25</v>
      </c>
      <c r="P292" s="64">
        <f t="shared" si="141"/>
        <v>361.55239999999998</v>
      </c>
      <c r="Q292" s="64">
        <f>VLOOKUP($H$291,Tabsub,3)</f>
        <v>0</v>
      </c>
      <c r="R292" s="64">
        <v>1100</v>
      </c>
      <c r="S292" s="64"/>
      <c r="T292" s="64"/>
      <c r="U292" s="64"/>
      <c r="V292" s="68">
        <f t="shared" si="142"/>
        <v>3016.3476000000001</v>
      </c>
      <c r="W292" s="68">
        <f t="shared" si="143"/>
        <v>2616.3476000000001</v>
      </c>
      <c r="Y292" s="14">
        <f t="shared" si="144"/>
        <v>3016.3476000000001</v>
      </c>
      <c r="Z292" s="14">
        <f t="shared" si="145"/>
        <v>2616.3476000000001</v>
      </c>
    </row>
    <row r="293" spans="1:26" x14ac:dyDescent="0.25">
      <c r="A293" s="30">
        <v>166</v>
      </c>
      <c r="B293" s="45">
        <v>1585782354</v>
      </c>
      <c r="C293" s="151" t="s">
        <v>325</v>
      </c>
      <c r="D293" s="152" t="s">
        <v>175</v>
      </c>
      <c r="E293" s="152" t="s">
        <v>326</v>
      </c>
      <c r="F293" s="63">
        <v>15</v>
      </c>
      <c r="G293" s="72">
        <v>271.86</v>
      </c>
      <c r="H293" s="72">
        <f t="shared" si="139"/>
        <v>4077.9</v>
      </c>
      <c r="I293" s="72">
        <v>400</v>
      </c>
      <c r="J293" s="64"/>
      <c r="K293" s="72">
        <f>VLOOKUP($H$291,Tabisr,1)</f>
        <v>3651.01</v>
      </c>
      <c r="L293" s="68">
        <f t="shared" si="140"/>
        <v>426.88999999999987</v>
      </c>
      <c r="M293" s="73">
        <f>VLOOKUP($H$291,Tabisr,4)</f>
        <v>0.16</v>
      </c>
      <c r="N293" s="72">
        <f>(H293-3651.01)*16%</f>
        <v>68.302399999999977</v>
      </c>
      <c r="O293" s="72">
        <v>293.25</v>
      </c>
      <c r="P293" s="72">
        <f t="shared" si="141"/>
        <v>361.55239999999998</v>
      </c>
      <c r="Q293" s="72">
        <f>VLOOKUP($H$291,Tabsub,3)</f>
        <v>0</v>
      </c>
      <c r="R293" s="72"/>
      <c r="S293" s="72"/>
      <c r="T293" s="72"/>
      <c r="U293" s="72"/>
      <c r="V293" s="68">
        <f t="shared" si="142"/>
        <v>4116.3476000000001</v>
      </c>
      <c r="W293" s="68">
        <f t="shared" si="143"/>
        <v>3716.3476000000001</v>
      </c>
      <c r="Y293" s="14">
        <f t="shared" si="144"/>
        <v>4116.3476000000001</v>
      </c>
      <c r="Z293" s="14">
        <f t="shared" si="145"/>
        <v>3716.3476000000001</v>
      </c>
    </row>
    <row r="294" spans="1:26" x14ac:dyDescent="0.25">
      <c r="A294" s="31">
        <v>167</v>
      </c>
      <c r="B294" s="45">
        <v>1585782361</v>
      </c>
      <c r="C294" s="151" t="s">
        <v>146</v>
      </c>
      <c r="D294" s="152" t="s">
        <v>175</v>
      </c>
      <c r="E294" s="185" t="s">
        <v>158</v>
      </c>
      <c r="F294" s="63">
        <v>15</v>
      </c>
      <c r="G294" s="64">
        <v>271.86</v>
      </c>
      <c r="H294" s="64">
        <f t="shared" si="139"/>
        <v>4077.9</v>
      </c>
      <c r="I294" s="113">
        <v>400</v>
      </c>
      <c r="J294" s="113"/>
      <c r="K294" s="64">
        <f>VLOOKUP($H$291,Tabisr,1)</f>
        <v>3651.01</v>
      </c>
      <c r="L294" s="66">
        <f t="shared" si="140"/>
        <v>426.88999999999987</v>
      </c>
      <c r="M294" s="67">
        <f>VLOOKUP($H$291,Tabisr,4)</f>
        <v>0.16</v>
      </c>
      <c r="N294" s="64">
        <f>(H294-3651.01)*16%</f>
        <v>68.302399999999977</v>
      </c>
      <c r="O294" s="72">
        <v>293.25</v>
      </c>
      <c r="P294" s="64">
        <f t="shared" si="141"/>
        <v>361.55239999999998</v>
      </c>
      <c r="Q294" s="64">
        <f>VLOOKUP($H$291,Tabsub,3)</f>
        <v>0</v>
      </c>
      <c r="R294" s="113"/>
      <c r="S294" s="113">
        <v>1100</v>
      </c>
      <c r="T294" s="113"/>
      <c r="U294" s="60"/>
      <c r="V294" s="68">
        <f t="shared" si="142"/>
        <v>3016.3476000000001</v>
      </c>
      <c r="W294" s="66">
        <f t="shared" si="143"/>
        <v>2616.3476000000001</v>
      </c>
      <c r="Y294" s="14">
        <f t="shared" si="144"/>
        <v>3016.3476000000001</v>
      </c>
      <c r="Z294" s="14">
        <f t="shared" si="145"/>
        <v>2616.3476000000001</v>
      </c>
    </row>
    <row r="295" spans="1:26" x14ac:dyDescent="0.25">
      <c r="A295" s="40"/>
      <c r="B295" s="54"/>
      <c r="C295" s="153"/>
      <c r="D295" s="26"/>
      <c r="E295" s="26"/>
      <c r="F295" s="69"/>
      <c r="G295" s="70"/>
      <c r="H295" s="76">
        <f>+SUM(H289:H294)</f>
        <v>30309.450000000004</v>
      </c>
      <c r="I295" s="76">
        <f>+SUM(I289:I294)</f>
        <v>2000</v>
      </c>
      <c r="J295" s="76">
        <f t="shared" ref="J295:W295" si="146">+SUM(J289:J294)</f>
        <v>0</v>
      </c>
      <c r="K295" s="76">
        <f t="shared" si="146"/>
        <v>23336.060000000005</v>
      </c>
      <c r="L295" s="76">
        <f t="shared" si="146"/>
        <v>6973.3899999999976</v>
      </c>
      <c r="M295" s="76">
        <f t="shared" si="146"/>
        <v>1.0136000000000001</v>
      </c>
      <c r="N295" s="76">
        <f t="shared" si="146"/>
        <v>1375.1095840000003</v>
      </c>
      <c r="O295" s="76">
        <f t="shared" si="146"/>
        <v>2004.45</v>
      </c>
      <c r="P295" s="76">
        <f t="shared" si="146"/>
        <v>3379.5595840000001</v>
      </c>
      <c r="Q295" s="76">
        <f t="shared" si="146"/>
        <v>0</v>
      </c>
      <c r="R295" s="76">
        <f t="shared" si="146"/>
        <v>5850</v>
      </c>
      <c r="S295" s="76">
        <f t="shared" si="146"/>
        <v>3400</v>
      </c>
      <c r="T295" s="76">
        <f t="shared" si="146"/>
        <v>0</v>
      </c>
      <c r="U295" s="76">
        <f t="shared" si="146"/>
        <v>300</v>
      </c>
      <c r="V295" s="76">
        <f t="shared" si="146"/>
        <v>19379.890416000002</v>
      </c>
      <c r="W295" s="76">
        <f t="shared" si="146"/>
        <v>17379.890416000002</v>
      </c>
      <c r="Y295" s="15">
        <f>+SUM(Y289:Y294)</f>
        <v>19379.890416000002</v>
      </c>
      <c r="Z295" s="15">
        <f>+SUM(Z289:Z294)</f>
        <v>17379.890416000002</v>
      </c>
    </row>
    <row r="296" spans="1:26" x14ac:dyDescent="0.25">
      <c r="A296" s="40"/>
      <c r="B296" s="54"/>
      <c r="C296" s="153"/>
      <c r="D296" s="26"/>
      <c r="E296" s="26"/>
      <c r="F296" s="69"/>
      <c r="G296" s="70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Y296" s="15"/>
      <c r="Z296" s="15"/>
    </row>
    <row r="297" spans="1:26" x14ac:dyDescent="0.25">
      <c r="A297" s="40"/>
      <c r="B297" s="54"/>
      <c r="C297" s="153"/>
      <c r="D297" s="26"/>
      <c r="E297" s="26"/>
      <c r="F297" s="69"/>
      <c r="G297" s="70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1"/>
      <c r="W297" s="71"/>
      <c r="Y297" s="14"/>
      <c r="Z297" s="14"/>
    </row>
    <row r="298" spans="1:26" ht="18.75" x14ac:dyDescent="0.25">
      <c r="A298" s="266" t="s">
        <v>378</v>
      </c>
      <c r="B298" s="266"/>
      <c r="C298" s="266"/>
      <c r="D298" s="266"/>
      <c r="E298" s="266"/>
      <c r="F298" s="266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Y298" s="14"/>
      <c r="Z298" s="14"/>
    </row>
    <row r="299" spans="1:26" s="10" customFormat="1" ht="37.5" customHeight="1" x14ac:dyDescent="0.25">
      <c r="A299" s="29" t="s">
        <v>69</v>
      </c>
      <c r="B299" s="223" t="s">
        <v>584</v>
      </c>
      <c r="C299" s="29" t="s">
        <v>17</v>
      </c>
      <c r="D299" s="29" t="s">
        <v>161</v>
      </c>
      <c r="E299" s="29" t="s">
        <v>143</v>
      </c>
      <c r="F299" s="29" t="s">
        <v>27</v>
      </c>
      <c r="G299" s="29" t="s">
        <v>19</v>
      </c>
      <c r="H299" s="29" t="s">
        <v>18</v>
      </c>
      <c r="I299" s="29" t="s">
        <v>66</v>
      </c>
      <c r="J299" s="29" t="s">
        <v>74</v>
      </c>
      <c r="K299" s="47" t="s">
        <v>301</v>
      </c>
      <c r="L299" s="47" t="s">
        <v>302</v>
      </c>
      <c r="M299" s="47" t="s">
        <v>303</v>
      </c>
      <c r="N299" s="47" t="s">
        <v>304</v>
      </c>
      <c r="O299" s="29" t="s">
        <v>305</v>
      </c>
      <c r="P299" s="29" t="s">
        <v>67</v>
      </c>
      <c r="Q299" s="29" t="s">
        <v>68</v>
      </c>
      <c r="R299" s="29" t="s">
        <v>20</v>
      </c>
      <c r="S299" s="29" t="s">
        <v>452</v>
      </c>
      <c r="T299" s="29" t="s">
        <v>72</v>
      </c>
      <c r="U299" s="29" t="s">
        <v>157</v>
      </c>
      <c r="V299" s="29" t="s">
        <v>155</v>
      </c>
      <c r="W299" s="29" t="s">
        <v>156</v>
      </c>
      <c r="Y299" s="14"/>
      <c r="Z299" s="14"/>
    </row>
    <row r="300" spans="1:26" s="12" customFormat="1" ht="22.5" x14ac:dyDescent="0.25">
      <c r="A300" s="37">
        <v>168</v>
      </c>
      <c r="B300" s="52"/>
      <c r="C300" s="21" t="s">
        <v>371</v>
      </c>
      <c r="D300" s="21" t="s">
        <v>370</v>
      </c>
      <c r="E300" s="25" t="s">
        <v>419</v>
      </c>
      <c r="F300" s="90">
        <v>15</v>
      </c>
      <c r="G300" s="91">
        <v>414.83</v>
      </c>
      <c r="H300" s="91">
        <f>F300*G300</f>
        <v>6222.45</v>
      </c>
      <c r="I300" s="91">
        <v>400</v>
      </c>
      <c r="J300" s="37"/>
      <c r="K300" s="91">
        <f>VLOOKUP($H$209,Tabisr,1)</f>
        <v>5081.01</v>
      </c>
      <c r="L300" s="93">
        <f>+H300-K300</f>
        <v>1141.4399999999996</v>
      </c>
      <c r="M300" s="94">
        <f>VLOOKUP($H$209,Tabisr,4)</f>
        <v>0.21360000000000001</v>
      </c>
      <c r="N300" s="91">
        <f>+L300*M300</f>
        <v>243.81158399999993</v>
      </c>
      <c r="O300" s="91">
        <f>VLOOKUP($H$209,Tabisr,3)</f>
        <v>538.20000000000005</v>
      </c>
      <c r="P300" s="92">
        <f>+N300+O300</f>
        <v>782.01158399999997</v>
      </c>
      <c r="Q300" s="91"/>
      <c r="R300" s="91"/>
      <c r="S300" s="91"/>
      <c r="T300" s="91"/>
      <c r="U300" s="91"/>
      <c r="V300" s="93">
        <f t="shared" ref="V300:V317" si="147">H300+I300+J300-P300+Q300-R300-S300-T300-U300</f>
        <v>5840.438416</v>
      </c>
      <c r="W300" s="93">
        <f t="shared" ref="W300:W317" si="148">V300-I300</f>
        <v>5440.438416</v>
      </c>
      <c r="Y300" s="14">
        <f t="shared" ref="Y300:Y317" si="149">+H300+I300+J300+Q300-P300-R300-S300-T300-U300</f>
        <v>5840.438416</v>
      </c>
      <c r="Z300" s="14">
        <f t="shared" ref="Z300:Z317" si="150">+V300-I300</f>
        <v>5440.438416</v>
      </c>
    </row>
    <row r="301" spans="1:26" s="12" customFormat="1" x14ac:dyDescent="0.25">
      <c r="A301" s="31">
        <v>169</v>
      </c>
      <c r="B301" s="45">
        <v>1585782379</v>
      </c>
      <c r="C301" s="16" t="s">
        <v>412</v>
      </c>
      <c r="D301" s="152" t="s">
        <v>163</v>
      </c>
      <c r="E301" s="185" t="s">
        <v>120</v>
      </c>
      <c r="F301" s="63">
        <v>15</v>
      </c>
      <c r="G301" s="64">
        <v>263.56</v>
      </c>
      <c r="H301" s="64">
        <f>F301*G301</f>
        <v>3953.4</v>
      </c>
      <c r="I301" s="113">
        <v>400</v>
      </c>
      <c r="J301" s="113"/>
      <c r="K301" s="64">
        <f>VLOOKUP($H$62,Tabisr,1)</f>
        <v>3651.01</v>
      </c>
      <c r="L301" s="66">
        <f>+H301-K301</f>
        <v>302.38999999999987</v>
      </c>
      <c r="M301" s="67">
        <f>VLOOKUP($H$62,Tabisr,4)</f>
        <v>0.16</v>
      </c>
      <c r="N301" s="64">
        <f>(H301-3651.01)*16%</f>
        <v>48.382399999999983</v>
      </c>
      <c r="O301" s="64">
        <v>293.25</v>
      </c>
      <c r="P301" s="64">
        <f>O301+N301</f>
        <v>341.63239999999996</v>
      </c>
      <c r="Q301" s="64">
        <f>VLOOKUP($H$62,Tabsub,3)</f>
        <v>0</v>
      </c>
      <c r="R301" s="113"/>
      <c r="S301" s="113"/>
      <c r="T301" s="113"/>
      <c r="U301" s="113"/>
      <c r="V301" s="68">
        <f t="shared" si="147"/>
        <v>4011.7675999999997</v>
      </c>
      <c r="W301" s="66">
        <f t="shared" si="148"/>
        <v>3611.7675999999997</v>
      </c>
      <c r="Y301" s="14">
        <f t="shared" si="149"/>
        <v>4011.7675999999997</v>
      </c>
      <c r="Z301" s="14">
        <f t="shared" si="150"/>
        <v>3611.7675999999997</v>
      </c>
    </row>
    <row r="302" spans="1:26" s="12" customFormat="1" x14ac:dyDescent="0.25">
      <c r="A302" s="30">
        <v>170</v>
      </c>
      <c r="B302" s="45">
        <v>1585782387</v>
      </c>
      <c r="C302" s="151" t="s">
        <v>9</v>
      </c>
      <c r="D302" s="152" t="s">
        <v>166</v>
      </c>
      <c r="E302" s="152" t="s">
        <v>124</v>
      </c>
      <c r="F302" s="63">
        <v>15</v>
      </c>
      <c r="G302" s="64">
        <v>218.17</v>
      </c>
      <c r="H302" s="64">
        <f>F302*G302</f>
        <v>3272.5499999999997</v>
      </c>
      <c r="I302" s="64">
        <v>400</v>
      </c>
      <c r="J302" s="64"/>
      <c r="K302" s="64">
        <f>VLOOKUP($H$302,Tabisr,1)</f>
        <v>2077.5100000000002</v>
      </c>
      <c r="L302" s="66">
        <f>+H302-K302</f>
        <v>1195.0399999999995</v>
      </c>
      <c r="M302" s="67">
        <f>VLOOKUP($H$302,Tabisr,4)</f>
        <v>0.10879999999999999</v>
      </c>
      <c r="N302" s="64">
        <f>(H302-2077.51)*10.88%</f>
        <v>130.02035199999995</v>
      </c>
      <c r="O302" s="72">
        <v>121.95</v>
      </c>
      <c r="P302" s="64">
        <f>N302+O302</f>
        <v>251.97035199999993</v>
      </c>
      <c r="Q302" s="64">
        <v>125.1</v>
      </c>
      <c r="R302" s="64">
        <v>540</v>
      </c>
      <c r="S302" s="64"/>
      <c r="T302" s="64"/>
      <c r="U302" s="64"/>
      <c r="V302" s="68">
        <f t="shared" si="147"/>
        <v>3005.6796479999998</v>
      </c>
      <c r="W302" s="68">
        <f t="shared" si="148"/>
        <v>2605.6796479999998</v>
      </c>
      <c r="Y302" s="14">
        <f t="shared" si="149"/>
        <v>3005.6796479999998</v>
      </c>
      <c r="Z302" s="14">
        <f t="shared" si="150"/>
        <v>2605.6796479999998</v>
      </c>
    </row>
    <row r="303" spans="1:26" s="10" customFormat="1" x14ac:dyDescent="0.25">
      <c r="A303" s="31">
        <v>171</v>
      </c>
      <c r="B303" s="45">
        <v>1585782395</v>
      </c>
      <c r="C303" s="16" t="s">
        <v>34</v>
      </c>
      <c r="D303" s="18" t="s">
        <v>188</v>
      </c>
      <c r="E303" s="18" t="s">
        <v>105</v>
      </c>
      <c r="F303" s="63">
        <v>15</v>
      </c>
      <c r="G303" s="72">
        <v>271.86</v>
      </c>
      <c r="H303" s="72">
        <f t="shared" ref="H303:H315" si="151">F303*G303</f>
        <v>4077.9</v>
      </c>
      <c r="I303" s="72">
        <v>400</v>
      </c>
      <c r="J303" s="72"/>
      <c r="K303" s="72">
        <f>VLOOKUP($H$303,Tabisr,1)</f>
        <v>3651.01</v>
      </c>
      <c r="L303" s="68">
        <f t="shared" ref="L303:L315" si="152">+H303-K303</f>
        <v>426.88999999999987</v>
      </c>
      <c r="M303" s="73">
        <f>VLOOKUP($H$303,Tabisr,4)</f>
        <v>0.16</v>
      </c>
      <c r="N303" s="72">
        <f>(H303-3651.01)*16%</f>
        <v>68.302399999999977</v>
      </c>
      <c r="O303" s="72">
        <v>293.25</v>
      </c>
      <c r="P303" s="72">
        <f t="shared" ref="P303:P316" si="153">N303+O303</f>
        <v>361.55239999999998</v>
      </c>
      <c r="Q303" s="72">
        <f>VLOOKUP($H$303,Tabsub,3)</f>
        <v>0</v>
      </c>
      <c r="R303" s="72">
        <v>1250</v>
      </c>
      <c r="S303" s="72"/>
      <c r="T303" s="72"/>
      <c r="U303" s="72"/>
      <c r="V303" s="68">
        <f t="shared" si="147"/>
        <v>2866.3476000000001</v>
      </c>
      <c r="W303" s="68">
        <f t="shared" si="148"/>
        <v>2466.3476000000001</v>
      </c>
      <c r="Y303" s="14">
        <f t="shared" si="149"/>
        <v>2866.3476000000001</v>
      </c>
      <c r="Z303" s="14">
        <f t="shared" si="150"/>
        <v>2466.3476000000001</v>
      </c>
    </row>
    <row r="304" spans="1:26" x14ac:dyDescent="0.25">
      <c r="A304" s="30">
        <v>172</v>
      </c>
      <c r="B304" s="45">
        <v>1585782417</v>
      </c>
      <c r="C304" s="16" t="s">
        <v>518</v>
      </c>
      <c r="D304" s="18" t="s">
        <v>188</v>
      </c>
      <c r="E304" s="18" t="s">
        <v>524</v>
      </c>
      <c r="F304" s="63">
        <v>15</v>
      </c>
      <c r="G304" s="72">
        <v>271.86</v>
      </c>
      <c r="H304" s="72">
        <f>F304*G304</f>
        <v>4077.9</v>
      </c>
      <c r="I304" s="72">
        <v>400</v>
      </c>
      <c r="J304" s="72"/>
      <c r="K304" s="72">
        <f>VLOOKUP($H$303,Tabisr,1)</f>
        <v>3651.01</v>
      </c>
      <c r="L304" s="68">
        <f>+H304-K304</f>
        <v>426.88999999999987</v>
      </c>
      <c r="M304" s="73">
        <f>VLOOKUP($H$303,Tabisr,4)</f>
        <v>0.16</v>
      </c>
      <c r="N304" s="72">
        <f>(H304-3651.01)*16%</f>
        <v>68.302399999999977</v>
      </c>
      <c r="O304" s="72">
        <v>293.25</v>
      </c>
      <c r="P304" s="72">
        <f>N304+O304</f>
        <v>361.55239999999998</v>
      </c>
      <c r="Q304" s="72">
        <f>VLOOKUP($H$303,Tabsub,3)</f>
        <v>0</v>
      </c>
      <c r="R304" s="72"/>
      <c r="S304" s="72"/>
      <c r="T304" s="72"/>
      <c r="U304" s="72"/>
      <c r="V304" s="68">
        <f t="shared" si="147"/>
        <v>4116.3476000000001</v>
      </c>
      <c r="W304" s="68">
        <f t="shared" si="148"/>
        <v>3716.3476000000001</v>
      </c>
      <c r="Y304" s="14">
        <f t="shared" si="149"/>
        <v>4116.3476000000001</v>
      </c>
      <c r="Z304" s="14">
        <f t="shared" si="150"/>
        <v>3716.3476000000001</v>
      </c>
    </row>
    <row r="305" spans="1:26" x14ac:dyDescent="0.25">
      <c r="A305" s="37">
        <v>173</v>
      </c>
      <c r="B305" s="52"/>
      <c r="C305" s="21" t="s">
        <v>519</v>
      </c>
      <c r="D305" s="25" t="s">
        <v>188</v>
      </c>
      <c r="E305" s="25" t="s">
        <v>525</v>
      </c>
      <c r="F305" s="90">
        <v>15</v>
      </c>
      <c r="G305" s="91">
        <v>271.86</v>
      </c>
      <c r="H305" s="91">
        <f>F305*G305</f>
        <v>4077.9</v>
      </c>
      <c r="I305" s="91">
        <v>400</v>
      </c>
      <c r="J305" s="91"/>
      <c r="K305" s="91">
        <f>VLOOKUP($H$303,Tabisr,1)</f>
        <v>3651.01</v>
      </c>
      <c r="L305" s="93">
        <f>+H305-K305</f>
        <v>426.88999999999987</v>
      </c>
      <c r="M305" s="94">
        <f>VLOOKUP($H$303,Tabisr,4)</f>
        <v>0.16</v>
      </c>
      <c r="N305" s="91">
        <f>(H305-3651.01)*16%</f>
        <v>68.302399999999977</v>
      </c>
      <c r="O305" s="91">
        <v>293.25</v>
      </c>
      <c r="P305" s="91">
        <f>N305+O305</f>
        <v>361.55239999999998</v>
      </c>
      <c r="Q305" s="91">
        <f>VLOOKUP($H$303,Tabsub,3)</f>
        <v>0</v>
      </c>
      <c r="R305" s="91">
        <v>835</v>
      </c>
      <c r="S305" s="91">
        <v>1062</v>
      </c>
      <c r="T305" s="91"/>
      <c r="U305" s="91"/>
      <c r="V305" s="93">
        <f t="shared" si="147"/>
        <v>2219.3476000000001</v>
      </c>
      <c r="W305" s="93">
        <f t="shared" si="148"/>
        <v>1819.3476000000001</v>
      </c>
      <c r="Y305" s="14">
        <f t="shared" si="149"/>
        <v>2219.3476000000001</v>
      </c>
      <c r="Z305" s="14">
        <f t="shared" si="150"/>
        <v>1819.3476000000001</v>
      </c>
    </row>
    <row r="306" spans="1:26" ht="23.25" customHeight="1" x14ac:dyDescent="0.25">
      <c r="A306" s="30">
        <v>174</v>
      </c>
      <c r="B306" s="45">
        <v>1585782425</v>
      </c>
      <c r="C306" s="16" t="s">
        <v>233</v>
      </c>
      <c r="D306" s="16" t="s">
        <v>256</v>
      </c>
      <c r="E306" s="18" t="s">
        <v>234</v>
      </c>
      <c r="F306" s="63">
        <v>15</v>
      </c>
      <c r="G306" s="72">
        <v>312.26</v>
      </c>
      <c r="H306" s="72">
        <f t="shared" si="151"/>
        <v>4683.8999999999996</v>
      </c>
      <c r="I306" s="72">
        <v>400</v>
      </c>
      <c r="J306" s="30"/>
      <c r="K306" s="72">
        <f>VLOOKUP($H$306,Tabisr,1)</f>
        <v>4244.01</v>
      </c>
      <c r="L306" s="68">
        <f t="shared" si="152"/>
        <v>439.88999999999942</v>
      </c>
      <c r="M306" s="73">
        <f>VLOOKUP($H$306,Tabisr,4)</f>
        <v>0.1792</v>
      </c>
      <c r="N306" s="72">
        <f>(H306-4244.01)*17.92%</f>
        <v>78.828287999999901</v>
      </c>
      <c r="O306" s="72">
        <v>388.05</v>
      </c>
      <c r="P306" s="72">
        <f t="shared" si="153"/>
        <v>466.87828799999988</v>
      </c>
      <c r="Q306" s="72">
        <f>VLOOKUP($H$306,Tabsub,3)</f>
        <v>0</v>
      </c>
      <c r="R306" s="72">
        <v>2100</v>
      </c>
      <c r="S306" s="72"/>
      <c r="T306" s="72"/>
      <c r="U306" s="72"/>
      <c r="V306" s="68">
        <f t="shared" si="147"/>
        <v>2517.0217119999998</v>
      </c>
      <c r="W306" s="68">
        <f t="shared" si="148"/>
        <v>2117.0217119999998</v>
      </c>
      <c r="Y306" s="14">
        <f t="shared" si="149"/>
        <v>2517.0217119999998</v>
      </c>
      <c r="Z306" s="14">
        <f t="shared" si="150"/>
        <v>2117.0217119999998</v>
      </c>
    </row>
    <row r="307" spans="1:26" x14ac:dyDescent="0.25">
      <c r="A307" s="31">
        <v>175</v>
      </c>
      <c r="B307" s="45">
        <v>1585781684</v>
      </c>
      <c r="C307" s="16" t="s">
        <v>423</v>
      </c>
      <c r="D307" s="16" t="s">
        <v>175</v>
      </c>
      <c r="E307" s="163" t="s">
        <v>476</v>
      </c>
      <c r="F307" s="63">
        <v>15</v>
      </c>
      <c r="G307" s="72">
        <v>271.86</v>
      </c>
      <c r="H307" s="72">
        <f t="shared" si="151"/>
        <v>4077.9</v>
      </c>
      <c r="I307" s="60">
        <v>400</v>
      </c>
      <c r="J307" s="60"/>
      <c r="K307" s="72">
        <v>5087</v>
      </c>
      <c r="L307" s="68">
        <f t="shared" si="152"/>
        <v>-1009.0999999999999</v>
      </c>
      <c r="M307" s="73">
        <v>6.2135999999999996</v>
      </c>
      <c r="N307" s="72">
        <f>(H307-5081.01)*21.36%</f>
        <v>-214.264296</v>
      </c>
      <c r="O307" s="72">
        <v>544.20000000000005</v>
      </c>
      <c r="P307" s="72">
        <f t="shared" si="153"/>
        <v>329.93570400000004</v>
      </c>
      <c r="Q307" s="72"/>
      <c r="R307" s="60"/>
      <c r="S307" s="60">
        <v>1200</v>
      </c>
      <c r="T307" s="60"/>
      <c r="U307" s="60"/>
      <c r="V307" s="68">
        <f t="shared" si="147"/>
        <v>2947.9642959999992</v>
      </c>
      <c r="W307" s="68">
        <f t="shared" si="148"/>
        <v>2547.9642959999992</v>
      </c>
      <c r="Y307" s="14">
        <f t="shared" si="149"/>
        <v>2947.9642959999992</v>
      </c>
      <c r="Z307" s="14">
        <f t="shared" si="150"/>
        <v>2547.9642959999992</v>
      </c>
    </row>
    <row r="308" spans="1:26" s="10" customFormat="1" x14ac:dyDescent="0.25">
      <c r="A308" s="30">
        <v>176</v>
      </c>
      <c r="B308" s="45">
        <v>1585782174</v>
      </c>
      <c r="C308" s="16" t="s">
        <v>52</v>
      </c>
      <c r="D308" s="16" t="s">
        <v>175</v>
      </c>
      <c r="E308" s="18" t="s">
        <v>134</v>
      </c>
      <c r="F308" s="63">
        <v>15</v>
      </c>
      <c r="G308" s="72">
        <v>271.86</v>
      </c>
      <c r="H308" s="72">
        <f>F308*G308</f>
        <v>4077.9</v>
      </c>
      <c r="I308" s="72">
        <v>400</v>
      </c>
      <c r="J308" s="72"/>
      <c r="K308" s="72">
        <f>VLOOKUP($H$308,Tabisr,1)</f>
        <v>3651.01</v>
      </c>
      <c r="L308" s="68">
        <f>+H308-K308</f>
        <v>426.88999999999987</v>
      </c>
      <c r="M308" s="73">
        <f>VLOOKUP($H$308,Tabisr,4)</f>
        <v>0.16</v>
      </c>
      <c r="N308" s="64">
        <f>(H308-3651.01)*16%</f>
        <v>68.302399999999977</v>
      </c>
      <c r="O308" s="64">
        <v>293.25</v>
      </c>
      <c r="P308" s="64">
        <f>O308+N308</f>
        <v>361.55239999999998</v>
      </c>
      <c r="Q308" s="72">
        <f>VLOOKUP($H$308,Tabsub,3)</f>
        <v>0</v>
      </c>
      <c r="R308" s="72"/>
      <c r="S308" s="72"/>
      <c r="T308" s="72"/>
      <c r="U308" s="72"/>
      <c r="V308" s="68">
        <f t="shared" si="147"/>
        <v>4116.3476000000001</v>
      </c>
      <c r="W308" s="66">
        <f t="shared" si="148"/>
        <v>3716.3476000000001</v>
      </c>
      <c r="Y308" s="14">
        <f t="shared" si="149"/>
        <v>4116.3476000000001</v>
      </c>
      <c r="Z308" s="14">
        <f t="shared" si="150"/>
        <v>3716.3476000000001</v>
      </c>
    </row>
    <row r="309" spans="1:26" s="10" customFormat="1" x14ac:dyDescent="0.25">
      <c r="A309" s="31">
        <v>177</v>
      </c>
      <c r="B309" s="45">
        <v>1585782239</v>
      </c>
      <c r="C309" s="16" t="s">
        <v>609</v>
      </c>
      <c r="D309" s="16" t="s">
        <v>175</v>
      </c>
      <c r="E309" s="18" t="s">
        <v>138</v>
      </c>
      <c r="F309" s="63">
        <v>15</v>
      </c>
      <c r="G309" s="72">
        <v>271.86</v>
      </c>
      <c r="H309" s="72">
        <f>F309*G309</f>
        <v>4077.9</v>
      </c>
      <c r="I309" s="72">
        <v>400</v>
      </c>
      <c r="J309" s="72"/>
      <c r="K309" s="72">
        <f>VLOOKUP($H$309,Tabisr,1)</f>
        <v>3651.01</v>
      </c>
      <c r="L309" s="68">
        <f>+H309-K309</f>
        <v>426.88999999999987</v>
      </c>
      <c r="M309" s="73">
        <f>VLOOKUP($H$309,Tabisr,4)</f>
        <v>0.16</v>
      </c>
      <c r="N309" s="64">
        <f>(H309-3651.01)*16%</f>
        <v>68.302399999999977</v>
      </c>
      <c r="O309" s="64">
        <v>293.25</v>
      </c>
      <c r="P309" s="64">
        <f>O309+N309</f>
        <v>361.55239999999998</v>
      </c>
      <c r="Q309" s="72">
        <f>VLOOKUP($H$309,Tabsub,3)</f>
        <v>0</v>
      </c>
      <c r="R309" s="72"/>
      <c r="S309" s="72"/>
      <c r="T309" s="72"/>
      <c r="U309" s="72"/>
      <c r="V309" s="68">
        <f t="shared" si="147"/>
        <v>4116.3476000000001</v>
      </c>
      <c r="W309" s="66">
        <f t="shared" si="148"/>
        <v>3716.3476000000001</v>
      </c>
      <c r="Y309" s="14">
        <f t="shared" si="149"/>
        <v>4116.3476000000001</v>
      </c>
      <c r="Z309" s="14">
        <f t="shared" si="150"/>
        <v>3716.3476000000001</v>
      </c>
    </row>
    <row r="310" spans="1:26" s="10" customFormat="1" x14ac:dyDescent="0.25">
      <c r="A310" s="30">
        <v>178</v>
      </c>
      <c r="B310" s="45">
        <v>1585782433</v>
      </c>
      <c r="C310" s="151" t="s">
        <v>35</v>
      </c>
      <c r="D310" s="152" t="s">
        <v>189</v>
      </c>
      <c r="E310" s="152" t="s">
        <v>106</v>
      </c>
      <c r="F310" s="63">
        <v>15</v>
      </c>
      <c r="G310" s="64">
        <v>290.66000000000003</v>
      </c>
      <c r="H310" s="64">
        <f t="shared" si="151"/>
        <v>4359.9000000000005</v>
      </c>
      <c r="I310" s="64">
        <v>400</v>
      </c>
      <c r="J310" s="64"/>
      <c r="K310" s="64">
        <f>VLOOKUP($H$310,Tabisr,1)</f>
        <v>4244.01</v>
      </c>
      <c r="L310" s="66">
        <f t="shared" si="152"/>
        <v>115.89000000000033</v>
      </c>
      <c r="M310" s="67">
        <f>VLOOKUP($H$310,Tabisr,4)</f>
        <v>0.1792</v>
      </c>
      <c r="N310" s="64">
        <f t="shared" ref="N310:N315" si="154">(H310-3651.01)*16%</f>
        <v>113.42240000000005</v>
      </c>
      <c r="O310" s="72">
        <v>293.25</v>
      </c>
      <c r="P310" s="64">
        <f t="shared" si="153"/>
        <v>406.67240000000004</v>
      </c>
      <c r="Q310" s="64">
        <f>VLOOKUP($H$310,Tabsub,3)</f>
        <v>0</v>
      </c>
      <c r="R310" s="64"/>
      <c r="S310" s="64"/>
      <c r="T310" s="64"/>
      <c r="U310" s="64"/>
      <c r="V310" s="68">
        <f t="shared" si="147"/>
        <v>4353.2276000000002</v>
      </c>
      <c r="W310" s="68">
        <f t="shared" si="148"/>
        <v>3953.2276000000002</v>
      </c>
      <c r="Y310" s="14">
        <f t="shared" si="149"/>
        <v>4353.2276000000002</v>
      </c>
      <c r="Z310" s="14">
        <f t="shared" si="150"/>
        <v>3953.2276000000002</v>
      </c>
    </row>
    <row r="311" spans="1:26" s="10" customFormat="1" x14ac:dyDescent="0.25">
      <c r="A311" s="31">
        <v>179</v>
      </c>
      <c r="B311" s="45">
        <v>1585782442</v>
      </c>
      <c r="C311" s="151" t="s">
        <v>36</v>
      </c>
      <c r="D311" s="152" t="s">
        <v>189</v>
      </c>
      <c r="E311" s="152" t="s">
        <v>107</v>
      </c>
      <c r="F311" s="63">
        <v>15</v>
      </c>
      <c r="G311" s="64">
        <v>290.66000000000003</v>
      </c>
      <c r="H311" s="64">
        <f t="shared" si="151"/>
        <v>4359.9000000000005</v>
      </c>
      <c r="I311" s="64">
        <v>400</v>
      </c>
      <c r="J311" s="64"/>
      <c r="K311" s="64">
        <f>VLOOKUP($H$311,Tabisr,1)</f>
        <v>4244.01</v>
      </c>
      <c r="L311" s="66">
        <f t="shared" si="152"/>
        <v>115.89000000000033</v>
      </c>
      <c r="M311" s="67">
        <f>VLOOKUP($H$311,Tabisr,4)</f>
        <v>0.1792</v>
      </c>
      <c r="N311" s="64">
        <f t="shared" si="154"/>
        <v>113.42240000000005</v>
      </c>
      <c r="O311" s="72">
        <v>293.25</v>
      </c>
      <c r="P311" s="64">
        <f t="shared" si="153"/>
        <v>406.67240000000004</v>
      </c>
      <c r="Q311" s="64">
        <f>VLOOKUP($H$311,Tabsub,3)</f>
        <v>0</v>
      </c>
      <c r="R311" s="64"/>
      <c r="S311" s="64"/>
      <c r="T311" s="64"/>
      <c r="U311" s="64"/>
      <c r="V311" s="68">
        <f t="shared" si="147"/>
        <v>4353.2276000000002</v>
      </c>
      <c r="W311" s="68">
        <f t="shared" si="148"/>
        <v>3953.2276000000002</v>
      </c>
      <c r="Y311" s="14">
        <f t="shared" si="149"/>
        <v>4353.2276000000002</v>
      </c>
      <c r="Z311" s="14">
        <f t="shared" si="150"/>
        <v>3953.2276000000002</v>
      </c>
    </row>
    <row r="312" spans="1:26" s="10" customFormat="1" x14ac:dyDescent="0.25">
      <c r="A312" s="30">
        <v>180</v>
      </c>
      <c r="B312" s="45">
        <v>1585782450</v>
      </c>
      <c r="C312" s="151" t="s">
        <v>37</v>
      </c>
      <c r="D312" s="152" t="s">
        <v>189</v>
      </c>
      <c r="E312" s="152" t="s">
        <v>108</v>
      </c>
      <c r="F312" s="63">
        <v>15</v>
      </c>
      <c r="G312" s="64">
        <v>290.66000000000003</v>
      </c>
      <c r="H312" s="64">
        <f t="shared" si="151"/>
        <v>4359.9000000000005</v>
      </c>
      <c r="I312" s="64">
        <v>400</v>
      </c>
      <c r="J312" s="64"/>
      <c r="K312" s="64">
        <f>VLOOKUP($H$312,Tabisr,1)</f>
        <v>4244.01</v>
      </c>
      <c r="L312" s="66">
        <f t="shared" si="152"/>
        <v>115.89000000000033</v>
      </c>
      <c r="M312" s="67">
        <f>VLOOKUP($H$312,Tabisr,4)</f>
        <v>0.1792</v>
      </c>
      <c r="N312" s="64">
        <f t="shared" si="154"/>
        <v>113.42240000000005</v>
      </c>
      <c r="O312" s="72">
        <v>293.25</v>
      </c>
      <c r="P312" s="64">
        <f t="shared" si="153"/>
        <v>406.67240000000004</v>
      </c>
      <c r="Q312" s="64">
        <f>VLOOKUP($H$312,Tabsub,3)</f>
        <v>0</v>
      </c>
      <c r="R312" s="64"/>
      <c r="S312" s="64"/>
      <c r="T312" s="64"/>
      <c r="U312" s="64"/>
      <c r="V312" s="68">
        <f t="shared" si="147"/>
        <v>4353.2276000000002</v>
      </c>
      <c r="W312" s="68">
        <f t="shared" si="148"/>
        <v>3953.2276000000002</v>
      </c>
      <c r="Y312" s="14">
        <f t="shared" si="149"/>
        <v>4353.2276000000002</v>
      </c>
      <c r="Z312" s="14">
        <f t="shared" si="150"/>
        <v>3953.2276000000002</v>
      </c>
    </row>
    <row r="313" spans="1:26" x14ac:dyDescent="0.25">
      <c r="A313" s="31">
        <v>181</v>
      </c>
      <c r="B313" s="45">
        <v>1586243617</v>
      </c>
      <c r="C313" s="16" t="s">
        <v>12</v>
      </c>
      <c r="D313" s="152" t="s">
        <v>189</v>
      </c>
      <c r="E313" s="152" t="s">
        <v>109</v>
      </c>
      <c r="F313" s="63">
        <v>15</v>
      </c>
      <c r="G313" s="64">
        <v>290.66000000000003</v>
      </c>
      <c r="H313" s="64">
        <f t="shared" si="151"/>
        <v>4359.9000000000005</v>
      </c>
      <c r="I313" s="64">
        <v>400</v>
      </c>
      <c r="J313" s="64"/>
      <c r="K313" s="64">
        <f>VLOOKUP($H$313,Tabisr,1)</f>
        <v>4244.01</v>
      </c>
      <c r="L313" s="66">
        <f t="shared" si="152"/>
        <v>115.89000000000033</v>
      </c>
      <c r="M313" s="67">
        <f>VLOOKUP($H$313,Tabisr,4)</f>
        <v>0.1792</v>
      </c>
      <c r="N313" s="64">
        <f t="shared" si="154"/>
        <v>113.42240000000005</v>
      </c>
      <c r="O313" s="72">
        <v>293.25</v>
      </c>
      <c r="P313" s="64">
        <f t="shared" si="153"/>
        <v>406.67240000000004</v>
      </c>
      <c r="Q313" s="64">
        <f>VLOOKUP($H$313,Tabsub,3)</f>
        <v>0</v>
      </c>
      <c r="R313" s="64">
        <v>710</v>
      </c>
      <c r="S313" s="64"/>
      <c r="T313" s="64"/>
      <c r="U313" s="64"/>
      <c r="V313" s="68">
        <f t="shared" si="147"/>
        <v>3643.2276000000002</v>
      </c>
      <c r="W313" s="68">
        <f t="shared" si="148"/>
        <v>3243.2276000000002</v>
      </c>
      <c r="Y313" s="14">
        <f t="shared" si="149"/>
        <v>3643.2276000000002</v>
      </c>
      <c r="Z313" s="14">
        <f t="shared" si="150"/>
        <v>3243.2276000000002</v>
      </c>
    </row>
    <row r="314" spans="1:26" x14ac:dyDescent="0.25">
      <c r="A314" s="30">
        <v>182</v>
      </c>
      <c r="B314" s="45">
        <v>1585782468</v>
      </c>
      <c r="C314" s="151" t="s">
        <v>38</v>
      </c>
      <c r="D314" s="152" t="s">
        <v>189</v>
      </c>
      <c r="E314" s="152" t="s">
        <v>110</v>
      </c>
      <c r="F314" s="63">
        <v>15</v>
      </c>
      <c r="G314" s="64">
        <v>290.66000000000003</v>
      </c>
      <c r="H314" s="64">
        <f t="shared" si="151"/>
        <v>4359.9000000000005</v>
      </c>
      <c r="I314" s="64">
        <v>400</v>
      </c>
      <c r="J314" s="64"/>
      <c r="K314" s="64">
        <f>VLOOKUP($H$314,Tabisr,1)</f>
        <v>4244.01</v>
      </c>
      <c r="L314" s="66">
        <f t="shared" si="152"/>
        <v>115.89000000000033</v>
      </c>
      <c r="M314" s="67">
        <f>VLOOKUP($H$314,Tabisr,4)</f>
        <v>0.1792</v>
      </c>
      <c r="N314" s="64">
        <f t="shared" si="154"/>
        <v>113.42240000000005</v>
      </c>
      <c r="O314" s="72">
        <v>293.25</v>
      </c>
      <c r="P314" s="64">
        <f t="shared" si="153"/>
        <v>406.67240000000004</v>
      </c>
      <c r="Q314" s="64">
        <f>VLOOKUP($H$314,Tabsub,3)</f>
        <v>0</v>
      </c>
      <c r="R314" s="64">
        <v>640</v>
      </c>
      <c r="S314" s="64"/>
      <c r="T314" s="64"/>
      <c r="U314" s="64"/>
      <c r="V314" s="68">
        <f t="shared" si="147"/>
        <v>3713.2276000000002</v>
      </c>
      <c r="W314" s="68">
        <f t="shared" si="148"/>
        <v>3313.2276000000002</v>
      </c>
      <c r="Y314" s="14">
        <f t="shared" si="149"/>
        <v>3713.2276000000002</v>
      </c>
      <c r="Z314" s="14">
        <f t="shared" si="150"/>
        <v>3313.2276000000002</v>
      </c>
    </row>
    <row r="315" spans="1:26" x14ac:dyDescent="0.25">
      <c r="A315" s="31">
        <v>183</v>
      </c>
      <c r="B315" s="45">
        <v>1585782476</v>
      </c>
      <c r="C315" s="16" t="s">
        <v>39</v>
      </c>
      <c r="D315" s="18" t="s">
        <v>189</v>
      </c>
      <c r="E315" s="18" t="s">
        <v>111</v>
      </c>
      <c r="F315" s="63">
        <v>15</v>
      </c>
      <c r="G315" s="64">
        <v>290.66000000000003</v>
      </c>
      <c r="H315" s="72">
        <f t="shared" si="151"/>
        <v>4359.9000000000005</v>
      </c>
      <c r="I315" s="72">
        <v>400</v>
      </c>
      <c r="J315" s="72"/>
      <c r="K315" s="72">
        <f>VLOOKUP($H$315,Tabisr,1)</f>
        <v>4244.01</v>
      </c>
      <c r="L315" s="68">
        <f t="shared" si="152"/>
        <v>115.89000000000033</v>
      </c>
      <c r="M315" s="73">
        <f>VLOOKUP($H$315,Tabisr,4)</f>
        <v>0.1792</v>
      </c>
      <c r="N315" s="72">
        <f t="shared" si="154"/>
        <v>113.42240000000005</v>
      </c>
      <c r="O315" s="72">
        <v>293.25</v>
      </c>
      <c r="P315" s="72">
        <f t="shared" si="153"/>
        <v>406.67240000000004</v>
      </c>
      <c r="Q315" s="72">
        <f>VLOOKUP($H$315,Tabsub,3)</f>
        <v>0</v>
      </c>
      <c r="R315" s="72"/>
      <c r="S315" s="72"/>
      <c r="T315" s="72"/>
      <c r="U315" s="72"/>
      <c r="V315" s="68">
        <f t="shared" si="147"/>
        <v>4353.2276000000002</v>
      </c>
      <c r="W315" s="68">
        <f t="shared" si="148"/>
        <v>3953.2276000000002</v>
      </c>
      <c r="Y315" s="14">
        <f t="shared" si="149"/>
        <v>4353.2276000000002</v>
      </c>
      <c r="Z315" s="14">
        <f t="shared" si="150"/>
        <v>3953.2276000000002</v>
      </c>
    </row>
    <row r="316" spans="1:26" x14ac:dyDescent="0.25">
      <c r="A316" s="30">
        <v>184</v>
      </c>
      <c r="B316" s="45">
        <v>1585782484</v>
      </c>
      <c r="C316" s="16" t="s">
        <v>15</v>
      </c>
      <c r="D316" s="18" t="s">
        <v>164</v>
      </c>
      <c r="E316" s="20" t="s">
        <v>84</v>
      </c>
      <c r="F316" s="63">
        <v>15</v>
      </c>
      <c r="G316" s="72">
        <v>390.42</v>
      </c>
      <c r="H316" s="72">
        <f>F316*G316</f>
        <v>5856.3</v>
      </c>
      <c r="I316" s="60">
        <v>400</v>
      </c>
      <c r="J316" s="60"/>
      <c r="K316" s="72">
        <v>5081.01</v>
      </c>
      <c r="L316" s="68">
        <f>+H316-K316</f>
        <v>775.29</v>
      </c>
      <c r="M316" s="73">
        <v>0.21360000000000001</v>
      </c>
      <c r="N316" s="72">
        <f>(H316-5081.01)*21.36%</f>
        <v>165.60194399999997</v>
      </c>
      <c r="O316" s="72">
        <v>538.20000000000005</v>
      </c>
      <c r="P316" s="72">
        <f t="shared" si="153"/>
        <v>703.80194400000005</v>
      </c>
      <c r="Q316" s="72"/>
      <c r="R316" s="60">
        <v>2170</v>
      </c>
      <c r="S316" s="60"/>
      <c r="T316" s="60"/>
      <c r="U316" s="60"/>
      <c r="V316" s="68">
        <f t="shared" si="147"/>
        <v>3382.4980560000004</v>
      </c>
      <c r="W316" s="68">
        <f t="shared" si="148"/>
        <v>2982.4980560000004</v>
      </c>
      <c r="Y316" s="14">
        <f t="shared" si="149"/>
        <v>3382.4980560000004</v>
      </c>
      <c r="Z316" s="14">
        <f t="shared" si="150"/>
        <v>2982.4980560000004</v>
      </c>
    </row>
    <row r="317" spans="1:26" x14ac:dyDescent="0.25">
      <c r="A317" s="31">
        <v>185</v>
      </c>
      <c r="B317" s="45">
        <v>1585782494</v>
      </c>
      <c r="C317" s="151" t="s">
        <v>5</v>
      </c>
      <c r="D317" s="152" t="s">
        <v>165</v>
      </c>
      <c r="E317" s="185" t="s">
        <v>85</v>
      </c>
      <c r="F317" s="63">
        <v>15</v>
      </c>
      <c r="G317" s="64">
        <v>312.26</v>
      </c>
      <c r="H317" s="64">
        <f>F317*G317</f>
        <v>4683.8999999999996</v>
      </c>
      <c r="I317" s="64">
        <v>400</v>
      </c>
      <c r="J317" s="31"/>
      <c r="K317" s="64">
        <f>VLOOKUP($H$306,Tabisr,1)</f>
        <v>4244.01</v>
      </c>
      <c r="L317" s="66">
        <f>+H317-K317</f>
        <v>439.88999999999942</v>
      </c>
      <c r="M317" s="67">
        <f>VLOOKUP($H$306,Tabisr,4)</f>
        <v>0.1792</v>
      </c>
      <c r="N317" s="64">
        <f>(H317-4244.01)*17.92%</f>
        <v>78.828287999999901</v>
      </c>
      <c r="O317" s="72">
        <v>388.05</v>
      </c>
      <c r="P317" s="64">
        <f>N317+O317</f>
        <v>466.87828799999988</v>
      </c>
      <c r="Q317" s="64"/>
      <c r="R317" s="113"/>
      <c r="S317" s="113"/>
      <c r="T317" s="113"/>
      <c r="U317" s="113"/>
      <c r="V317" s="68">
        <f t="shared" si="147"/>
        <v>4617.0217119999998</v>
      </c>
      <c r="W317" s="68">
        <f t="shared" si="148"/>
        <v>4217.0217119999998</v>
      </c>
      <c r="Y317" s="14">
        <f t="shared" si="149"/>
        <v>4617.0217119999998</v>
      </c>
      <c r="Z317" s="14">
        <f t="shared" si="150"/>
        <v>4217.0217119999998</v>
      </c>
    </row>
    <row r="318" spans="1:26" x14ac:dyDescent="0.25">
      <c r="A318" s="40"/>
      <c r="B318" s="54"/>
      <c r="C318" s="166"/>
      <c r="D318" s="168"/>
      <c r="E318" s="214"/>
      <c r="F318" s="43"/>
      <c r="G318" s="43"/>
      <c r="H318" s="112">
        <f>+SUM(H300:H317)</f>
        <v>79299.3</v>
      </c>
      <c r="I318" s="112">
        <f t="shared" ref="I318:W318" si="155">+SUM(I300:I317)</f>
        <v>7200</v>
      </c>
      <c r="J318" s="112">
        <f t="shared" si="155"/>
        <v>0</v>
      </c>
      <c r="K318" s="112">
        <f t="shared" si="155"/>
        <v>73184.670000000013</v>
      </c>
      <c r="L318" s="112">
        <f t="shared" si="155"/>
        <v>6114.63</v>
      </c>
      <c r="M318" s="112">
        <f t="shared" si="155"/>
        <v>9.1431999999999984</v>
      </c>
      <c r="N318" s="112">
        <f t="shared" si="155"/>
        <v>1553.2549600000002</v>
      </c>
      <c r="O318" s="112">
        <f t="shared" si="155"/>
        <v>6037.6500000000005</v>
      </c>
      <c r="P318" s="112">
        <f t="shared" si="155"/>
        <v>7590.9049600000017</v>
      </c>
      <c r="Q318" s="112">
        <f t="shared" si="155"/>
        <v>125.1</v>
      </c>
      <c r="R318" s="112">
        <f t="shared" si="155"/>
        <v>8245</v>
      </c>
      <c r="S318" s="112">
        <f t="shared" si="155"/>
        <v>2262</v>
      </c>
      <c r="T318" s="112">
        <f t="shared" si="155"/>
        <v>0</v>
      </c>
      <c r="U318" s="112">
        <f t="shared" si="155"/>
        <v>0</v>
      </c>
      <c r="V318" s="112">
        <f t="shared" si="155"/>
        <v>68526.495039999994</v>
      </c>
      <c r="W318" s="112">
        <f t="shared" si="155"/>
        <v>61326.495039999994</v>
      </c>
      <c r="Y318" s="15">
        <f>+SUM(Y300:Y317)</f>
        <v>68526.495039999994</v>
      </c>
      <c r="Z318" s="15">
        <f>+SUM(Z300:Z317)</f>
        <v>61326.495039999994</v>
      </c>
    </row>
    <row r="319" spans="1:26" x14ac:dyDescent="0.25">
      <c r="A319" s="40"/>
      <c r="B319" s="54"/>
      <c r="C319" s="166"/>
      <c r="D319" s="168"/>
      <c r="E319" s="214"/>
      <c r="F319" s="43"/>
      <c r="G319" s="4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Y319" s="15"/>
      <c r="Z319" s="15"/>
    </row>
    <row r="320" spans="1:26" x14ac:dyDescent="0.25">
      <c r="A320" s="40"/>
      <c r="B320" s="54"/>
      <c r="C320" s="166"/>
      <c r="D320" s="168"/>
      <c r="E320" s="214"/>
      <c r="F320" s="43"/>
      <c r="G320" s="4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Y320" s="14"/>
      <c r="Z320" s="14"/>
    </row>
    <row r="321" spans="1:26" ht="18.75" x14ac:dyDescent="0.25">
      <c r="A321" s="266" t="s">
        <v>402</v>
      </c>
      <c r="B321" s="266"/>
      <c r="C321" s="266"/>
      <c r="D321" s="266"/>
      <c r="E321" s="266"/>
      <c r="F321" s="266"/>
      <c r="G321" s="266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Y321" s="14"/>
      <c r="Z321" s="14"/>
    </row>
    <row r="322" spans="1:26" ht="31.5" customHeight="1" x14ac:dyDescent="0.25">
      <c r="A322" s="29" t="s">
        <v>69</v>
      </c>
      <c r="B322" s="223" t="s">
        <v>584</v>
      </c>
      <c r="C322" s="29" t="s">
        <v>17</v>
      </c>
      <c r="D322" s="29" t="s">
        <v>161</v>
      </c>
      <c r="E322" s="29" t="s">
        <v>143</v>
      </c>
      <c r="F322" s="29" t="s">
        <v>27</v>
      </c>
      <c r="G322" s="29" t="s">
        <v>19</v>
      </c>
      <c r="H322" s="29" t="s">
        <v>18</v>
      </c>
      <c r="I322" s="29" t="s">
        <v>66</v>
      </c>
      <c r="J322" s="29" t="s">
        <v>74</v>
      </c>
      <c r="K322" s="47" t="s">
        <v>301</v>
      </c>
      <c r="L322" s="47" t="s">
        <v>302</v>
      </c>
      <c r="M322" s="47" t="s">
        <v>303</v>
      </c>
      <c r="N322" s="47" t="s">
        <v>304</v>
      </c>
      <c r="O322" s="29" t="s">
        <v>305</v>
      </c>
      <c r="P322" s="29" t="s">
        <v>67</v>
      </c>
      <c r="Q322" s="29" t="s">
        <v>68</v>
      </c>
      <c r="R322" s="29" t="s">
        <v>20</v>
      </c>
      <c r="S322" s="29" t="s">
        <v>452</v>
      </c>
      <c r="T322" s="29" t="s">
        <v>72</v>
      </c>
      <c r="U322" s="29" t="s">
        <v>157</v>
      </c>
      <c r="V322" s="29" t="s">
        <v>155</v>
      </c>
      <c r="W322" s="29" t="s">
        <v>156</v>
      </c>
      <c r="Y322" s="14"/>
      <c r="Z322" s="14"/>
    </row>
    <row r="323" spans="1:26" x14ac:dyDescent="0.25">
      <c r="A323" s="30">
        <v>186</v>
      </c>
      <c r="B323" s="45">
        <v>1585782506</v>
      </c>
      <c r="C323" s="16" t="s">
        <v>25</v>
      </c>
      <c r="D323" s="16" t="s">
        <v>254</v>
      </c>
      <c r="E323" s="20" t="s">
        <v>91</v>
      </c>
      <c r="F323" s="63">
        <v>15</v>
      </c>
      <c r="G323" s="72">
        <v>312.26</v>
      </c>
      <c r="H323" s="72">
        <f>F323*G323</f>
        <v>4683.8999999999996</v>
      </c>
      <c r="I323" s="72">
        <v>400</v>
      </c>
      <c r="J323" s="72"/>
      <c r="K323" s="72">
        <f>VLOOKUP($H$284,Tabisr,1)</f>
        <v>244.81</v>
      </c>
      <c r="L323" s="68">
        <f>+H323-K323</f>
        <v>4439.0899999999992</v>
      </c>
      <c r="M323" s="73">
        <f>VLOOKUP($H$284,Tabisr,4)</f>
        <v>6.4000000000000001E-2</v>
      </c>
      <c r="N323" s="72">
        <f>(H323-4244.01)*17.92%</f>
        <v>78.828287999999901</v>
      </c>
      <c r="O323" s="72">
        <v>388.05</v>
      </c>
      <c r="P323" s="72">
        <f>N323+O323</f>
        <v>466.87828799999988</v>
      </c>
      <c r="Q323" s="72">
        <f>VLOOKUP($H$284,Tabsub,3)</f>
        <v>188.7</v>
      </c>
      <c r="R323" s="72"/>
      <c r="S323" s="72">
        <v>1062</v>
      </c>
      <c r="T323" s="72"/>
      <c r="U323" s="72"/>
      <c r="V323" s="68">
        <f t="shared" ref="V323:V328" si="156">H323+I323+J323-P323+Q323-R323-S323-T323-U323</f>
        <v>3743.7217119999996</v>
      </c>
      <c r="W323" s="68">
        <f t="shared" ref="W323:W328" si="157">V323-I323</f>
        <v>3343.7217119999996</v>
      </c>
      <c r="Y323" s="14">
        <f t="shared" ref="Y323:Y328" si="158">+H323+I323+J323+Q323-P323-R323-S323-T323-U323</f>
        <v>3743.7217119999996</v>
      </c>
      <c r="Z323" s="14">
        <f t="shared" ref="Z323:Z328" si="159">+V323-I323</f>
        <v>3343.7217119999996</v>
      </c>
    </row>
    <row r="324" spans="1:26" x14ac:dyDescent="0.25">
      <c r="A324" s="41">
        <v>187</v>
      </c>
      <c r="B324" s="57"/>
      <c r="C324" s="169" t="s">
        <v>448</v>
      </c>
      <c r="D324" s="170" t="s">
        <v>169</v>
      </c>
      <c r="E324" s="256"/>
      <c r="F324" s="114"/>
      <c r="G324" s="117"/>
      <c r="H324" s="115"/>
      <c r="I324" s="115"/>
      <c r="J324" s="118"/>
      <c r="K324" s="119"/>
      <c r="L324" s="119"/>
      <c r="M324" s="119"/>
      <c r="N324" s="115">
        <f>(H324-3651.01)*16%</f>
        <v>-584.16160000000002</v>
      </c>
      <c r="O324" s="115">
        <v>293.25</v>
      </c>
      <c r="P324" s="115"/>
      <c r="Q324" s="118"/>
      <c r="R324" s="118"/>
      <c r="S324" s="118"/>
      <c r="T324" s="118"/>
      <c r="U324" s="118"/>
      <c r="V324" s="116">
        <f t="shared" si="156"/>
        <v>0</v>
      </c>
      <c r="W324" s="116">
        <f t="shared" si="157"/>
        <v>0</v>
      </c>
      <c r="Y324" s="14">
        <f t="shared" si="158"/>
        <v>0</v>
      </c>
      <c r="Z324" s="14">
        <f t="shared" si="159"/>
        <v>0</v>
      </c>
    </row>
    <row r="325" spans="1:26" x14ac:dyDescent="0.25">
      <c r="A325" s="30">
        <v>188</v>
      </c>
      <c r="B325" s="45">
        <v>1585782514</v>
      </c>
      <c r="C325" s="16" t="s">
        <v>76</v>
      </c>
      <c r="D325" s="18" t="s">
        <v>183</v>
      </c>
      <c r="E325" s="20" t="s">
        <v>149</v>
      </c>
      <c r="F325" s="63">
        <v>15</v>
      </c>
      <c r="G325" s="87">
        <v>214.1</v>
      </c>
      <c r="H325" s="72">
        <f>F325*G325</f>
        <v>3211.5</v>
      </c>
      <c r="I325" s="72">
        <v>400</v>
      </c>
      <c r="J325" s="120"/>
      <c r="K325" s="120"/>
      <c r="L325" s="120"/>
      <c r="M325" s="120"/>
      <c r="N325" s="64">
        <f>(H325-2077.51)*10.88%</f>
        <v>123.37811199999999</v>
      </c>
      <c r="O325" s="72">
        <v>121.95</v>
      </c>
      <c r="P325" s="64">
        <f>N325+O325</f>
        <v>245.32811199999998</v>
      </c>
      <c r="Q325" s="120"/>
      <c r="R325" s="120"/>
      <c r="S325" s="30">
        <v>397</v>
      </c>
      <c r="T325" s="120"/>
      <c r="U325" s="120"/>
      <c r="V325" s="68">
        <f t="shared" si="156"/>
        <v>2969.1718879999999</v>
      </c>
      <c r="W325" s="66">
        <f t="shared" si="157"/>
        <v>2569.1718879999999</v>
      </c>
      <c r="Y325" s="14">
        <f t="shared" si="158"/>
        <v>2969.1718879999999</v>
      </c>
      <c r="Z325" s="14">
        <f t="shared" si="159"/>
        <v>2569.1718879999999</v>
      </c>
    </row>
    <row r="326" spans="1:26" x14ac:dyDescent="0.25">
      <c r="A326" s="30">
        <v>189</v>
      </c>
      <c r="B326" s="45">
        <v>1586243595</v>
      </c>
      <c r="C326" s="16" t="s">
        <v>469</v>
      </c>
      <c r="D326" s="18" t="s">
        <v>183</v>
      </c>
      <c r="E326" s="20" t="s">
        <v>470</v>
      </c>
      <c r="F326" s="63">
        <v>15</v>
      </c>
      <c r="G326" s="87">
        <v>214.1</v>
      </c>
      <c r="H326" s="72">
        <f>F326*G326</f>
        <v>3211.5</v>
      </c>
      <c r="I326" s="72">
        <v>400</v>
      </c>
      <c r="J326" s="120"/>
      <c r="K326" s="120"/>
      <c r="L326" s="120"/>
      <c r="M326" s="120"/>
      <c r="N326" s="64">
        <f>(H326-2077.51)*10.88%</f>
        <v>123.37811199999999</v>
      </c>
      <c r="O326" s="72">
        <v>121.95</v>
      </c>
      <c r="P326" s="64">
        <f>N326+O326</f>
        <v>245.32811199999998</v>
      </c>
      <c r="Q326" s="120"/>
      <c r="R326" s="30">
        <v>750</v>
      </c>
      <c r="S326" s="30">
        <v>1062</v>
      </c>
      <c r="T326" s="120"/>
      <c r="U326" s="120"/>
      <c r="V326" s="68">
        <f t="shared" si="156"/>
        <v>1554.1718879999999</v>
      </c>
      <c r="W326" s="66">
        <f t="shared" si="157"/>
        <v>1154.1718879999999</v>
      </c>
      <c r="Y326" s="14">
        <f t="shared" si="158"/>
        <v>1554.1718879999999</v>
      </c>
      <c r="Z326" s="14">
        <f t="shared" si="159"/>
        <v>1154.1718879999999</v>
      </c>
    </row>
    <row r="327" spans="1:26" s="23" customFormat="1" x14ac:dyDescent="0.25">
      <c r="A327" s="30">
        <v>190</v>
      </c>
      <c r="B327" s="45">
        <v>1585782524</v>
      </c>
      <c r="C327" s="16" t="s">
        <v>588</v>
      </c>
      <c r="D327" s="18" t="s">
        <v>183</v>
      </c>
      <c r="E327" s="20" t="s">
        <v>604</v>
      </c>
      <c r="F327" s="63">
        <v>15</v>
      </c>
      <c r="G327" s="87">
        <v>214.1</v>
      </c>
      <c r="H327" s="72">
        <f>F327*G327</f>
        <v>3211.5</v>
      </c>
      <c r="I327" s="72">
        <v>400</v>
      </c>
      <c r="J327" s="30"/>
      <c r="K327" s="120"/>
      <c r="L327" s="120"/>
      <c r="M327" s="120"/>
      <c r="N327" s="72">
        <f>(H327-2077.51)*10.88%</f>
        <v>123.37811199999999</v>
      </c>
      <c r="O327" s="72">
        <v>121.95</v>
      </c>
      <c r="P327" s="72">
        <f>N327+O327</f>
        <v>245.32811199999998</v>
      </c>
      <c r="Q327" s="120"/>
      <c r="R327" s="30"/>
      <c r="S327" s="120"/>
      <c r="T327" s="120"/>
      <c r="U327" s="120"/>
      <c r="V327" s="68">
        <f t="shared" si="156"/>
        <v>3366.1718879999999</v>
      </c>
      <c r="W327" s="68">
        <f t="shared" si="157"/>
        <v>2966.1718879999999</v>
      </c>
      <c r="Y327" s="24">
        <f t="shared" si="158"/>
        <v>3366.1718879999999</v>
      </c>
      <c r="Z327" s="24">
        <f t="shared" si="159"/>
        <v>2966.1718879999999</v>
      </c>
    </row>
    <row r="328" spans="1:26" x14ac:dyDescent="0.2">
      <c r="A328" s="30">
        <v>191</v>
      </c>
      <c r="B328" s="45">
        <v>1585782531</v>
      </c>
      <c r="C328" s="172" t="s">
        <v>437</v>
      </c>
      <c r="D328" s="18" t="s">
        <v>632</v>
      </c>
      <c r="E328" s="187" t="s">
        <v>438</v>
      </c>
      <c r="F328" s="63">
        <v>15</v>
      </c>
      <c r="G328" s="87">
        <v>414.83</v>
      </c>
      <c r="H328" s="72">
        <f>F328*G328</f>
        <v>6222.45</v>
      </c>
      <c r="I328" s="72">
        <v>400</v>
      </c>
      <c r="J328" s="30"/>
      <c r="K328" s="120"/>
      <c r="L328" s="120"/>
      <c r="M328" s="120"/>
      <c r="N328" s="72">
        <f>(H328-2077.51)*10.88%</f>
        <v>450.969472</v>
      </c>
      <c r="O328" s="72">
        <v>121.95</v>
      </c>
      <c r="P328" s="72">
        <f>N328+O328</f>
        <v>572.91947200000004</v>
      </c>
      <c r="Q328" s="120"/>
      <c r="R328" s="30">
        <v>725</v>
      </c>
      <c r="S328" s="120"/>
      <c r="T328" s="120"/>
      <c r="U328" s="120"/>
      <c r="V328" s="68">
        <f t="shared" si="156"/>
        <v>5324.5305279999993</v>
      </c>
      <c r="W328" s="68">
        <f t="shared" si="157"/>
        <v>4924.5305279999993</v>
      </c>
      <c r="Y328" s="14">
        <f t="shared" si="158"/>
        <v>5324.5305279999993</v>
      </c>
      <c r="Z328" s="14">
        <f t="shared" si="159"/>
        <v>4924.5305279999993</v>
      </c>
    </row>
    <row r="329" spans="1:26" x14ac:dyDescent="0.25">
      <c r="A329" s="40"/>
      <c r="B329" s="54"/>
      <c r="C329" s="159"/>
      <c r="D329" s="160"/>
      <c r="E329" s="213"/>
      <c r="F329" s="84"/>
      <c r="G329" s="84"/>
      <c r="H329" s="85">
        <f>+SUM(H323:H328)</f>
        <v>20540.849999999999</v>
      </c>
      <c r="I329" s="85">
        <f>+SUM(I323:I328)</f>
        <v>2000</v>
      </c>
      <c r="J329" s="85">
        <f t="shared" ref="J329:W329" si="160">+SUM(J323:J328)</f>
        <v>0</v>
      </c>
      <c r="K329" s="85">
        <f t="shared" si="160"/>
        <v>244.81</v>
      </c>
      <c r="L329" s="85">
        <f t="shared" si="160"/>
        <v>4439.0899999999992</v>
      </c>
      <c r="M329" s="85">
        <f t="shared" si="160"/>
        <v>6.4000000000000001E-2</v>
      </c>
      <c r="N329" s="85">
        <f t="shared" si="160"/>
        <v>315.77049599999987</v>
      </c>
      <c r="O329" s="85">
        <f t="shared" si="160"/>
        <v>1169.1000000000001</v>
      </c>
      <c r="P329" s="85">
        <f t="shared" si="160"/>
        <v>1775.7820959999997</v>
      </c>
      <c r="Q329" s="85">
        <f t="shared" si="160"/>
        <v>188.7</v>
      </c>
      <c r="R329" s="85">
        <f t="shared" si="160"/>
        <v>1475</v>
      </c>
      <c r="S329" s="85">
        <f t="shared" si="160"/>
        <v>2521</v>
      </c>
      <c r="T329" s="85">
        <f t="shared" si="160"/>
        <v>0</v>
      </c>
      <c r="U329" s="85">
        <f t="shared" si="160"/>
        <v>0</v>
      </c>
      <c r="V329" s="85">
        <f t="shared" si="160"/>
        <v>16957.767904</v>
      </c>
      <c r="W329" s="85">
        <f t="shared" si="160"/>
        <v>14957.767903999998</v>
      </c>
      <c r="Y329" s="15">
        <f>+SUM(Y323:Y328)</f>
        <v>16957.767904</v>
      </c>
      <c r="Z329" s="15">
        <f>+SUM(Z323:Z328)</f>
        <v>14957.767903999998</v>
      </c>
    </row>
    <row r="330" spans="1:26" x14ac:dyDescent="0.25">
      <c r="A330" s="40"/>
      <c r="B330" s="54"/>
      <c r="C330" s="159"/>
      <c r="D330" s="160"/>
      <c r="E330" s="213"/>
      <c r="F330" s="84"/>
      <c r="G330" s="84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Y330" s="15"/>
      <c r="Z330" s="15"/>
    </row>
    <row r="331" spans="1:26" ht="18.75" x14ac:dyDescent="0.25">
      <c r="A331" s="266" t="s">
        <v>403</v>
      </c>
      <c r="B331" s="266"/>
      <c r="C331" s="266"/>
      <c r="D331" s="266"/>
      <c r="E331" s="266"/>
      <c r="F331" s="266"/>
      <c r="G331" s="266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Y331" s="14"/>
      <c r="Z331" s="14"/>
    </row>
    <row r="332" spans="1:26" ht="36" customHeight="1" x14ac:dyDescent="0.25">
      <c r="A332" s="29" t="s">
        <v>69</v>
      </c>
      <c r="B332" s="223" t="s">
        <v>584</v>
      </c>
      <c r="C332" s="29" t="s">
        <v>17</v>
      </c>
      <c r="D332" s="29" t="s">
        <v>161</v>
      </c>
      <c r="E332" s="29" t="s">
        <v>143</v>
      </c>
      <c r="F332" s="29" t="s">
        <v>27</v>
      </c>
      <c r="G332" s="29" t="s">
        <v>19</v>
      </c>
      <c r="H332" s="29" t="s">
        <v>18</v>
      </c>
      <c r="I332" s="29" t="s">
        <v>66</v>
      </c>
      <c r="J332" s="29" t="s">
        <v>74</v>
      </c>
      <c r="K332" s="47" t="s">
        <v>301</v>
      </c>
      <c r="L332" s="47" t="s">
        <v>302</v>
      </c>
      <c r="M332" s="47" t="s">
        <v>303</v>
      </c>
      <c r="N332" s="47" t="s">
        <v>304</v>
      </c>
      <c r="O332" s="29" t="s">
        <v>305</v>
      </c>
      <c r="P332" s="29" t="s">
        <v>67</v>
      </c>
      <c r="Q332" s="29" t="s">
        <v>68</v>
      </c>
      <c r="R332" s="29" t="s">
        <v>20</v>
      </c>
      <c r="S332" s="29" t="s">
        <v>452</v>
      </c>
      <c r="T332" s="29" t="s">
        <v>72</v>
      </c>
      <c r="U332" s="29" t="s">
        <v>157</v>
      </c>
      <c r="V332" s="29" t="s">
        <v>155</v>
      </c>
      <c r="W332" s="29" t="s">
        <v>156</v>
      </c>
      <c r="Y332" s="14"/>
      <c r="Z332" s="14"/>
    </row>
    <row r="333" spans="1:26" s="10" customFormat="1" x14ac:dyDescent="0.25">
      <c r="A333" s="30">
        <v>192</v>
      </c>
      <c r="B333" s="45">
        <v>1585782549</v>
      </c>
      <c r="C333" s="16" t="s">
        <v>440</v>
      </c>
      <c r="D333" s="16" t="s">
        <v>254</v>
      </c>
      <c r="E333" s="20" t="s">
        <v>249</v>
      </c>
      <c r="F333" s="63">
        <v>15</v>
      </c>
      <c r="G333" s="87">
        <v>312.26</v>
      </c>
      <c r="H333" s="72">
        <f>F333*G333</f>
        <v>4683.8999999999996</v>
      </c>
      <c r="I333" s="72">
        <v>400</v>
      </c>
      <c r="J333" s="30"/>
      <c r="K333" s="72">
        <f>VLOOKUP($H$333,Tabisr,1)</f>
        <v>4244.01</v>
      </c>
      <c r="L333" s="68">
        <f>+H333-K333</f>
        <v>439.88999999999942</v>
      </c>
      <c r="M333" s="73">
        <f>VLOOKUP($H$333,Tabisr,4)</f>
        <v>0.1792</v>
      </c>
      <c r="N333" s="72">
        <f>(H333-4244.01)*17.92%</f>
        <v>78.828287999999901</v>
      </c>
      <c r="O333" s="72">
        <v>388.05</v>
      </c>
      <c r="P333" s="72">
        <f>N333+O333</f>
        <v>466.87828799999988</v>
      </c>
      <c r="Q333" s="72">
        <f>VLOOKUP($H$333,Tabsub,3)</f>
        <v>0</v>
      </c>
      <c r="R333" s="72"/>
      <c r="S333" s="72"/>
      <c r="T333" s="72"/>
      <c r="U333" s="72"/>
      <c r="V333" s="68">
        <f>H333+I333+J333-P333+Q333-R333-S333-T333-U333</f>
        <v>4617.0217119999998</v>
      </c>
      <c r="W333" s="68">
        <f>V333-I333</f>
        <v>4217.0217119999998</v>
      </c>
      <c r="Y333" s="14">
        <f>+H333+I333+J333+Q333-P333-R333-S333-T333-U333</f>
        <v>4617.0217119999998</v>
      </c>
      <c r="Z333" s="14">
        <f>+V333-I333</f>
        <v>4217.0217119999998</v>
      </c>
    </row>
    <row r="334" spans="1:26" s="12" customFormat="1" x14ac:dyDescent="0.25">
      <c r="A334" s="30">
        <v>193</v>
      </c>
      <c r="B334" s="45">
        <v>1585782557</v>
      </c>
      <c r="C334" s="16" t="s">
        <v>591</v>
      </c>
      <c r="D334" s="16" t="s">
        <v>183</v>
      </c>
      <c r="E334" s="20" t="s">
        <v>597</v>
      </c>
      <c r="F334" s="63">
        <v>15</v>
      </c>
      <c r="G334" s="87">
        <v>214.1</v>
      </c>
      <c r="H334" s="72">
        <f>F334*G334</f>
        <v>3211.5</v>
      </c>
      <c r="I334" s="72">
        <v>400</v>
      </c>
      <c r="J334" s="120"/>
      <c r="K334" s="120"/>
      <c r="L334" s="120"/>
      <c r="M334" s="120"/>
      <c r="N334" s="72">
        <f>(H334-2077.51)*10.88%</f>
        <v>123.37811199999999</v>
      </c>
      <c r="O334" s="72">
        <v>121.95</v>
      </c>
      <c r="P334" s="72">
        <f>N334+O334</f>
        <v>245.32811199999998</v>
      </c>
      <c r="Q334" s="120"/>
      <c r="R334" s="30"/>
      <c r="S334" s="120"/>
      <c r="T334" s="120"/>
      <c r="U334" s="120"/>
      <c r="V334" s="68">
        <f>H334+I334+J334-P334+Q334-R334-S334-T334-U334</f>
        <v>3366.1718879999999</v>
      </c>
      <c r="W334" s="68">
        <f>V334-I334</f>
        <v>2966.1718879999999</v>
      </c>
      <c r="Y334" s="24">
        <f>+H334+I334+J334+Q334-P334-R334-S334-T334-U334</f>
        <v>3366.1718879999999</v>
      </c>
      <c r="Z334" s="24">
        <f>+V334-I334</f>
        <v>2966.1718879999999</v>
      </c>
    </row>
    <row r="335" spans="1:26" s="10" customFormat="1" x14ac:dyDescent="0.25">
      <c r="A335" s="30">
        <v>194</v>
      </c>
      <c r="B335" s="45">
        <v>1585782565</v>
      </c>
      <c r="C335" s="16" t="s">
        <v>508</v>
      </c>
      <c r="D335" s="16" t="s">
        <v>163</v>
      </c>
      <c r="E335" s="20" t="s">
        <v>509</v>
      </c>
      <c r="F335" s="63">
        <v>15</v>
      </c>
      <c r="G335" s="87">
        <v>263.56</v>
      </c>
      <c r="H335" s="72">
        <f>F335*G335</f>
        <v>3953.4</v>
      </c>
      <c r="I335" s="72">
        <v>400</v>
      </c>
      <c r="J335" s="30"/>
      <c r="K335" s="72"/>
      <c r="L335" s="68"/>
      <c r="M335" s="73"/>
      <c r="N335" s="72">
        <f>(H335-3651.01)*16%</f>
        <v>48.382399999999983</v>
      </c>
      <c r="O335" s="72">
        <v>293.25</v>
      </c>
      <c r="P335" s="72">
        <f>N335+O335</f>
        <v>341.63239999999996</v>
      </c>
      <c r="Q335" s="72"/>
      <c r="R335" s="72"/>
      <c r="S335" s="72"/>
      <c r="T335" s="72"/>
      <c r="U335" s="72"/>
      <c r="V335" s="68">
        <f>H335+I335+J335-P335+Q335-R335-S335-T335-U335</f>
        <v>4011.7675999999997</v>
      </c>
      <c r="W335" s="68">
        <f>V335-I335</f>
        <v>3611.7675999999997</v>
      </c>
      <c r="Y335" s="14">
        <f>+H335+I335+J335+Q335-P335-R335-S335-T335-U335</f>
        <v>4011.7675999999997</v>
      </c>
      <c r="Z335" s="14">
        <f>+V335-I335</f>
        <v>3611.7675999999997</v>
      </c>
    </row>
    <row r="336" spans="1:26" s="10" customFormat="1" x14ac:dyDescent="0.25">
      <c r="A336" s="39"/>
      <c r="B336" s="53"/>
      <c r="C336" s="153"/>
      <c r="D336" s="26"/>
      <c r="E336" s="212"/>
      <c r="F336" s="69"/>
      <c r="G336" s="121"/>
      <c r="H336" s="76">
        <f>+SUM(H333:H335)</f>
        <v>11848.8</v>
      </c>
      <c r="I336" s="76">
        <f t="shared" ref="I336:W336" si="161">+SUM(I333:I335)</f>
        <v>1200</v>
      </c>
      <c r="J336" s="76">
        <f t="shared" si="161"/>
        <v>0</v>
      </c>
      <c r="K336" s="76">
        <f t="shared" si="161"/>
        <v>4244.01</v>
      </c>
      <c r="L336" s="76">
        <f t="shared" si="161"/>
        <v>439.88999999999942</v>
      </c>
      <c r="M336" s="76">
        <f t="shared" si="161"/>
        <v>0.1792</v>
      </c>
      <c r="N336" s="76">
        <f t="shared" si="161"/>
        <v>250.58879999999988</v>
      </c>
      <c r="O336" s="76">
        <f t="shared" si="161"/>
        <v>803.25</v>
      </c>
      <c r="P336" s="76">
        <f t="shared" si="161"/>
        <v>1053.8387999999998</v>
      </c>
      <c r="Q336" s="76">
        <f t="shared" si="161"/>
        <v>0</v>
      </c>
      <c r="R336" s="76">
        <f t="shared" si="161"/>
        <v>0</v>
      </c>
      <c r="S336" s="76">
        <f t="shared" si="161"/>
        <v>0</v>
      </c>
      <c r="T336" s="76">
        <f t="shared" si="161"/>
        <v>0</v>
      </c>
      <c r="U336" s="76">
        <f t="shared" si="161"/>
        <v>0</v>
      </c>
      <c r="V336" s="76">
        <f t="shared" si="161"/>
        <v>11994.9612</v>
      </c>
      <c r="W336" s="76">
        <f t="shared" si="161"/>
        <v>10794.9612</v>
      </c>
      <c r="Y336" s="15">
        <f>+SUM(Y333:Y335)</f>
        <v>11994.9612</v>
      </c>
      <c r="Z336" s="15">
        <f>+SUM(Z333:Z335)</f>
        <v>10794.9612</v>
      </c>
    </row>
    <row r="337" spans="1:26" s="10" customFormat="1" x14ac:dyDescent="0.25">
      <c r="A337" s="39"/>
      <c r="B337" s="53"/>
      <c r="C337" s="153"/>
      <c r="D337" s="26"/>
      <c r="E337" s="212"/>
      <c r="F337" s="69"/>
      <c r="G337" s="121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1"/>
      <c r="W337" s="71"/>
      <c r="Y337" s="14"/>
      <c r="Z337" s="14"/>
    </row>
    <row r="338" spans="1:26" ht="18.75" x14ac:dyDescent="0.25">
      <c r="A338" s="266" t="s">
        <v>404</v>
      </c>
      <c r="B338" s="266"/>
      <c r="C338" s="266"/>
      <c r="D338" s="266"/>
      <c r="E338" s="266"/>
      <c r="F338" s="266"/>
      <c r="G338" s="266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66"/>
      <c r="T338" s="266"/>
      <c r="U338" s="266"/>
      <c r="V338" s="266"/>
      <c r="W338" s="266"/>
      <c r="Y338" s="14"/>
      <c r="Z338" s="14"/>
    </row>
    <row r="339" spans="1:26" ht="35.25" customHeight="1" x14ac:dyDescent="0.25">
      <c r="A339" s="29" t="s">
        <v>69</v>
      </c>
      <c r="B339" s="223" t="s">
        <v>584</v>
      </c>
      <c r="C339" s="29" t="s">
        <v>17</v>
      </c>
      <c r="D339" s="29" t="s">
        <v>161</v>
      </c>
      <c r="E339" s="29" t="s">
        <v>143</v>
      </c>
      <c r="F339" s="29" t="s">
        <v>27</v>
      </c>
      <c r="G339" s="29" t="s">
        <v>19</v>
      </c>
      <c r="H339" s="29" t="s">
        <v>18</v>
      </c>
      <c r="I339" s="29" t="s">
        <v>66</v>
      </c>
      <c r="J339" s="29" t="s">
        <v>74</v>
      </c>
      <c r="K339" s="47" t="s">
        <v>301</v>
      </c>
      <c r="L339" s="47" t="s">
        <v>302</v>
      </c>
      <c r="M339" s="47" t="s">
        <v>303</v>
      </c>
      <c r="N339" s="47" t="s">
        <v>304</v>
      </c>
      <c r="O339" s="29" t="s">
        <v>305</v>
      </c>
      <c r="P339" s="29" t="s">
        <v>67</v>
      </c>
      <c r="Q339" s="29" t="s">
        <v>68</v>
      </c>
      <c r="R339" s="29" t="s">
        <v>20</v>
      </c>
      <c r="S339" s="29" t="s">
        <v>452</v>
      </c>
      <c r="T339" s="29" t="s">
        <v>72</v>
      </c>
      <c r="U339" s="29" t="s">
        <v>157</v>
      </c>
      <c r="V339" s="29" t="s">
        <v>155</v>
      </c>
      <c r="W339" s="29" t="s">
        <v>156</v>
      </c>
      <c r="Y339" s="14"/>
      <c r="Z339" s="14"/>
    </row>
    <row r="340" spans="1:26" x14ac:dyDescent="0.25">
      <c r="A340" s="30">
        <v>195</v>
      </c>
      <c r="B340" s="45">
        <v>1585782573</v>
      </c>
      <c r="C340" s="16" t="s">
        <v>329</v>
      </c>
      <c r="D340" s="16" t="s">
        <v>254</v>
      </c>
      <c r="E340" s="20" t="s">
        <v>330</v>
      </c>
      <c r="F340" s="63">
        <v>15</v>
      </c>
      <c r="G340" s="87">
        <v>312.26</v>
      </c>
      <c r="H340" s="72">
        <f>F340*G340</f>
        <v>4683.8999999999996</v>
      </c>
      <c r="I340" s="72">
        <v>400</v>
      </c>
      <c r="J340" s="30"/>
      <c r="K340" s="72">
        <f>VLOOKUP($H$340,Tabisr,1)</f>
        <v>4244.01</v>
      </c>
      <c r="L340" s="68">
        <f>+H340-K340</f>
        <v>439.88999999999942</v>
      </c>
      <c r="M340" s="73">
        <f>VLOOKUP($H$340,Tabisr,4)</f>
        <v>0.1792</v>
      </c>
      <c r="N340" s="72">
        <f>(H340-4244.01)*17.92%</f>
        <v>78.828287999999901</v>
      </c>
      <c r="O340" s="72">
        <v>388.05</v>
      </c>
      <c r="P340" s="72">
        <f>N340+O340</f>
        <v>466.87828799999988</v>
      </c>
      <c r="Q340" s="72">
        <f>VLOOKUP($H$340,Tabsub,3)</f>
        <v>0</v>
      </c>
      <c r="R340" s="72"/>
      <c r="S340" s="72"/>
      <c r="T340" s="72"/>
      <c r="U340" s="72"/>
      <c r="V340" s="68">
        <f>H340+I340+J340-P340+Q340-R340-S340-T340-U340</f>
        <v>4617.0217119999998</v>
      </c>
      <c r="W340" s="68">
        <f>V340-I340</f>
        <v>4217.0217119999998</v>
      </c>
      <c r="Y340" s="14">
        <f>+H340+I340+J340+Q340-P340-R340-S340-T340-U340</f>
        <v>4617.0217119999998</v>
      </c>
      <c r="Z340" s="14">
        <f>+V340-I340</f>
        <v>4217.0217119999998</v>
      </c>
    </row>
    <row r="341" spans="1:26" x14ac:dyDescent="0.25">
      <c r="A341" s="30">
        <v>196</v>
      </c>
      <c r="B341" s="45">
        <v>1586243587</v>
      </c>
      <c r="C341" s="16" t="s">
        <v>407</v>
      </c>
      <c r="D341" s="151" t="s">
        <v>163</v>
      </c>
      <c r="E341" s="185" t="s">
        <v>408</v>
      </c>
      <c r="F341" s="63">
        <v>15</v>
      </c>
      <c r="G341" s="87">
        <v>263.56</v>
      </c>
      <c r="H341" s="72">
        <f>F341*G341</f>
        <v>3953.4</v>
      </c>
      <c r="I341" s="72">
        <v>400</v>
      </c>
      <c r="J341" s="122"/>
      <c r="K341" s="123"/>
      <c r="L341" s="123"/>
      <c r="M341" s="123"/>
      <c r="N341" s="64">
        <f>(H341-3651.01)*16%</f>
        <v>48.382399999999983</v>
      </c>
      <c r="O341" s="72">
        <v>293.25</v>
      </c>
      <c r="P341" s="64">
        <f>N341+O341</f>
        <v>341.63239999999996</v>
      </c>
      <c r="Q341" s="122"/>
      <c r="R341" s="35">
        <v>1000</v>
      </c>
      <c r="S341" s="122"/>
      <c r="T341" s="122"/>
      <c r="U341" s="122"/>
      <c r="V341" s="68">
        <f>H341+I341+J341-P341+Q341-R341-S341-T341-U341</f>
        <v>3011.7675999999997</v>
      </c>
      <c r="W341" s="66">
        <f>V341-I341</f>
        <v>2611.7675999999997</v>
      </c>
      <c r="Y341" s="14">
        <f>+H341+I341+J341+Q341-P341-R341-S341-T341-U341</f>
        <v>3011.7675999999997</v>
      </c>
      <c r="Z341" s="14">
        <f>+V341-I341</f>
        <v>2611.7675999999997</v>
      </c>
    </row>
    <row r="342" spans="1:26" x14ac:dyDescent="0.25">
      <c r="A342" s="30">
        <v>197</v>
      </c>
      <c r="B342" s="45">
        <v>1585782582</v>
      </c>
      <c r="C342" s="16" t="s">
        <v>520</v>
      </c>
      <c r="D342" s="173" t="s">
        <v>517</v>
      </c>
      <c r="E342" s="20" t="s">
        <v>521</v>
      </c>
      <c r="F342" s="63">
        <v>15</v>
      </c>
      <c r="G342" s="87">
        <v>214.1</v>
      </c>
      <c r="H342" s="72">
        <f>F342*G342</f>
        <v>3211.5</v>
      </c>
      <c r="I342" s="72">
        <v>400</v>
      </c>
      <c r="J342" s="30"/>
      <c r="K342" s="72" t="e">
        <f>VLOOKUP(#REF!,Tabisr,1)</f>
        <v>#REF!</v>
      </c>
      <c r="L342" s="68" t="e">
        <f>+H342-K342</f>
        <v>#REF!</v>
      </c>
      <c r="M342" s="73" t="e">
        <f>VLOOKUP(#REF!,Tabisr,4)</f>
        <v>#REF!</v>
      </c>
      <c r="N342" s="72">
        <f>(H342-2077.51)*10.88%</f>
        <v>123.37811199999999</v>
      </c>
      <c r="O342" s="72">
        <v>121.95</v>
      </c>
      <c r="P342" s="72">
        <f>N342+O342</f>
        <v>245.32811199999998</v>
      </c>
      <c r="Q342" s="72">
        <f>VLOOKUP($H$344,Tabsub,3)</f>
        <v>125.1</v>
      </c>
      <c r="R342" s="72"/>
      <c r="S342" s="72"/>
      <c r="T342" s="72"/>
      <c r="U342" s="72"/>
      <c r="V342" s="68">
        <f>H342+I342+J342-P342+Q342-R342-S342-T342-U342</f>
        <v>3491.2718879999998</v>
      </c>
      <c r="W342" s="68">
        <f>V342-I342</f>
        <v>3091.2718879999998</v>
      </c>
      <c r="Y342" s="14">
        <f>+H342+I342+J342+Q342-P342-R342-S342-T342-U342</f>
        <v>3491.2718879999998</v>
      </c>
      <c r="Z342" s="14">
        <f>+V342-I342</f>
        <v>3091.2718879999998</v>
      </c>
    </row>
    <row r="343" spans="1:26" x14ac:dyDescent="0.25">
      <c r="A343" s="30">
        <v>198</v>
      </c>
      <c r="B343" s="45">
        <v>1585781381</v>
      </c>
      <c r="C343" s="16" t="s">
        <v>595</v>
      </c>
      <c r="D343" s="16" t="s">
        <v>632</v>
      </c>
      <c r="E343" s="16" t="s">
        <v>600</v>
      </c>
      <c r="F343" s="63">
        <v>15</v>
      </c>
      <c r="G343" s="87">
        <v>263.56</v>
      </c>
      <c r="H343" s="72">
        <f>F343*G343</f>
        <v>3953.4</v>
      </c>
      <c r="I343" s="72">
        <v>400</v>
      </c>
      <c r="J343" s="122"/>
      <c r="K343" s="123"/>
      <c r="L343" s="123"/>
      <c r="M343" s="123"/>
      <c r="N343" s="64">
        <f>(H343-3651.01)*16%</f>
        <v>48.382399999999983</v>
      </c>
      <c r="O343" s="72">
        <v>293.25</v>
      </c>
      <c r="P343" s="64">
        <f>N343+O343</f>
        <v>341.63239999999996</v>
      </c>
      <c r="Q343" s="122"/>
      <c r="R343" s="35"/>
      <c r="S343" s="122"/>
      <c r="T343" s="122"/>
      <c r="U343" s="122"/>
      <c r="V343" s="68">
        <f>H343+I343+J343-P343+Q343-R343-S343-T343-U343</f>
        <v>4011.7675999999997</v>
      </c>
      <c r="W343" s="66">
        <f>V343-I343</f>
        <v>3611.7675999999997</v>
      </c>
      <c r="Y343" s="14">
        <f>+H343+I343+J343+Q343-P343-R343-S343-T343-U343</f>
        <v>4011.7675999999997</v>
      </c>
      <c r="Z343" s="14">
        <f>+V343-I343</f>
        <v>3611.7675999999997</v>
      </c>
    </row>
    <row r="344" spans="1:26" x14ac:dyDescent="0.25">
      <c r="A344" s="30">
        <v>199</v>
      </c>
      <c r="B344" s="45">
        <v>1585782590</v>
      </c>
      <c r="C344" s="174" t="s">
        <v>341</v>
      </c>
      <c r="D344" s="225" t="s">
        <v>183</v>
      </c>
      <c r="E344" s="185" t="s">
        <v>340</v>
      </c>
      <c r="F344" s="86">
        <v>15</v>
      </c>
      <c r="G344" s="95">
        <v>214.1</v>
      </c>
      <c r="H344" s="64">
        <f>F344*G344</f>
        <v>3211.5</v>
      </c>
      <c r="I344" s="64">
        <v>400</v>
      </c>
      <c r="J344" s="31"/>
      <c r="K344" s="64" t="e">
        <f>VLOOKUP(#REF!,Tabisr,1)</f>
        <v>#REF!</v>
      </c>
      <c r="L344" s="66" t="e">
        <f>+H344-K344</f>
        <v>#REF!</v>
      </c>
      <c r="M344" s="67" t="e">
        <f>VLOOKUP(#REF!,Tabisr,4)</f>
        <v>#REF!</v>
      </c>
      <c r="N344" s="64">
        <f>(H344-2077.51)*10.88%</f>
        <v>123.37811199999999</v>
      </c>
      <c r="O344" s="72">
        <v>121.95</v>
      </c>
      <c r="P344" s="64">
        <f>N344+O344</f>
        <v>245.32811199999998</v>
      </c>
      <c r="Q344" s="64">
        <f>VLOOKUP($H$344,Tabsub,3)</f>
        <v>125.1</v>
      </c>
      <c r="R344" s="64"/>
      <c r="S344" s="64"/>
      <c r="T344" s="64"/>
      <c r="U344" s="64"/>
      <c r="V344" s="68">
        <f>H344+I344+J344-P344+Q344-R344-S344-T344-U344</f>
        <v>3491.2718879999998</v>
      </c>
      <c r="W344" s="66">
        <f>V344-I344</f>
        <v>3091.2718879999998</v>
      </c>
      <c r="Y344" s="14">
        <f>+H344+I344+J344+Q344-P344-R344-S344-T344-U344</f>
        <v>3491.2718879999998</v>
      </c>
      <c r="Z344" s="14">
        <f>+V344-I344</f>
        <v>3091.2718879999998</v>
      </c>
    </row>
    <row r="345" spans="1:26" x14ac:dyDescent="0.25">
      <c r="A345" s="40"/>
      <c r="B345" s="54"/>
      <c r="C345" s="175"/>
      <c r="D345" s="176"/>
      <c r="E345" s="212"/>
      <c r="F345" s="69"/>
      <c r="G345" s="121"/>
      <c r="H345" s="76">
        <f>+SUM(H340:H344)</f>
        <v>19013.699999999997</v>
      </c>
      <c r="I345" s="76">
        <f>+SUM(I340:I344)</f>
        <v>2000</v>
      </c>
      <c r="J345" s="76">
        <f t="shared" ref="J345:W345" si="162">+SUM(J340:J344)</f>
        <v>0</v>
      </c>
      <c r="K345" s="76" t="e">
        <f t="shared" si="162"/>
        <v>#REF!</v>
      </c>
      <c r="L345" s="76" t="e">
        <f t="shared" si="162"/>
        <v>#REF!</v>
      </c>
      <c r="M345" s="76" t="e">
        <f t="shared" si="162"/>
        <v>#REF!</v>
      </c>
      <c r="N345" s="76">
        <f t="shared" si="162"/>
        <v>422.34931199999983</v>
      </c>
      <c r="O345" s="76">
        <f t="shared" si="162"/>
        <v>1218.45</v>
      </c>
      <c r="P345" s="76">
        <f t="shared" si="162"/>
        <v>1640.7993119999996</v>
      </c>
      <c r="Q345" s="76">
        <f t="shared" si="162"/>
        <v>250.2</v>
      </c>
      <c r="R345" s="76">
        <f t="shared" si="162"/>
        <v>1000</v>
      </c>
      <c r="S345" s="76">
        <f t="shared" si="162"/>
        <v>0</v>
      </c>
      <c r="T345" s="76">
        <f t="shared" si="162"/>
        <v>0</v>
      </c>
      <c r="U345" s="76">
        <f t="shared" si="162"/>
        <v>0</v>
      </c>
      <c r="V345" s="76">
        <f t="shared" si="162"/>
        <v>18623.100687999999</v>
      </c>
      <c r="W345" s="76">
        <f t="shared" si="162"/>
        <v>16623.100687999999</v>
      </c>
      <c r="Y345" s="15">
        <f>+SUM(Y340:Y344)</f>
        <v>18623.100687999999</v>
      </c>
      <c r="Z345" s="15">
        <f>+SUM(Z340:Z344)</f>
        <v>16623.100687999999</v>
      </c>
    </row>
    <row r="346" spans="1:26" x14ac:dyDescent="0.25">
      <c r="A346" s="40"/>
      <c r="B346" s="54"/>
      <c r="C346" s="175"/>
      <c r="D346" s="176"/>
      <c r="E346" s="212"/>
      <c r="F346" s="69"/>
      <c r="G346" s="121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1"/>
      <c r="W346" s="71"/>
      <c r="Y346" s="14"/>
      <c r="Z346" s="14"/>
    </row>
    <row r="347" spans="1:26" ht="18.75" x14ac:dyDescent="0.25">
      <c r="A347" s="266" t="s">
        <v>405</v>
      </c>
      <c r="B347" s="266"/>
      <c r="C347" s="266"/>
      <c r="D347" s="266"/>
      <c r="E347" s="266"/>
      <c r="F347" s="266"/>
      <c r="G347" s="266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Y347" s="14"/>
      <c r="Z347" s="14"/>
    </row>
    <row r="348" spans="1:26" ht="35.25" customHeight="1" x14ac:dyDescent="0.25">
      <c r="A348" s="29" t="s">
        <v>69</v>
      </c>
      <c r="B348" s="223" t="s">
        <v>584</v>
      </c>
      <c r="C348" s="29" t="s">
        <v>17</v>
      </c>
      <c r="D348" s="29" t="s">
        <v>161</v>
      </c>
      <c r="E348" s="29" t="s">
        <v>143</v>
      </c>
      <c r="F348" s="29" t="s">
        <v>27</v>
      </c>
      <c r="G348" s="29" t="s">
        <v>19</v>
      </c>
      <c r="H348" s="29" t="s">
        <v>18</v>
      </c>
      <c r="I348" s="29" t="s">
        <v>66</v>
      </c>
      <c r="J348" s="29" t="s">
        <v>74</v>
      </c>
      <c r="K348" s="47" t="s">
        <v>301</v>
      </c>
      <c r="L348" s="47" t="s">
        <v>302</v>
      </c>
      <c r="M348" s="47" t="s">
        <v>303</v>
      </c>
      <c r="N348" s="47" t="s">
        <v>304</v>
      </c>
      <c r="O348" s="29" t="s">
        <v>305</v>
      </c>
      <c r="P348" s="29" t="s">
        <v>67</v>
      </c>
      <c r="Q348" s="29" t="s">
        <v>68</v>
      </c>
      <c r="R348" s="29" t="s">
        <v>20</v>
      </c>
      <c r="S348" s="29" t="s">
        <v>452</v>
      </c>
      <c r="T348" s="29" t="s">
        <v>72</v>
      </c>
      <c r="U348" s="29" t="s">
        <v>157</v>
      </c>
      <c r="V348" s="29" t="s">
        <v>155</v>
      </c>
      <c r="W348" s="29" t="s">
        <v>156</v>
      </c>
      <c r="Y348" s="14"/>
      <c r="Z348" s="14"/>
    </row>
    <row r="349" spans="1:26" x14ac:dyDescent="0.25">
      <c r="A349" s="30">
        <v>201</v>
      </c>
      <c r="B349" s="257">
        <v>1585782612</v>
      </c>
      <c r="C349" s="16" t="s">
        <v>272</v>
      </c>
      <c r="D349" s="16" t="s">
        <v>254</v>
      </c>
      <c r="E349" s="20" t="s">
        <v>273</v>
      </c>
      <c r="F349" s="224">
        <v>15</v>
      </c>
      <c r="G349" s="87">
        <v>312.26</v>
      </c>
      <c r="H349" s="72">
        <f>F349*G349</f>
        <v>4683.8999999999996</v>
      </c>
      <c r="I349" s="72">
        <v>400</v>
      </c>
      <c r="J349" s="30"/>
      <c r="K349" s="72">
        <f>VLOOKUP($H$350,Tabisr,1)</f>
        <v>3651.01</v>
      </c>
      <c r="L349" s="68">
        <f>+H349-K349</f>
        <v>1032.8899999999994</v>
      </c>
      <c r="M349" s="73">
        <f>VLOOKUP($H$350,Tabisr,4)</f>
        <v>0.16</v>
      </c>
      <c r="N349" s="72">
        <f>(H349-4244.01)*17.92%</f>
        <v>78.828287999999901</v>
      </c>
      <c r="O349" s="72">
        <v>388.05</v>
      </c>
      <c r="P349" s="72">
        <f>N349+O349</f>
        <v>466.87828799999988</v>
      </c>
      <c r="Q349" s="72"/>
      <c r="R349" s="72"/>
      <c r="S349" s="72"/>
      <c r="T349" s="72"/>
      <c r="U349" s="72"/>
      <c r="V349" s="68">
        <f>H349+I349+J349-P349+Q349-R349-S349-T349-U349</f>
        <v>4617.0217119999998</v>
      </c>
      <c r="W349" s="68">
        <f>V349-I349</f>
        <v>4217.0217119999998</v>
      </c>
      <c r="Y349" s="14">
        <f>H349+I349+J349-P349+Q349-R349-S349-T349-U349</f>
        <v>4617.0217119999998</v>
      </c>
      <c r="Z349" s="14">
        <f>V349-I349</f>
        <v>4217.0217119999998</v>
      </c>
    </row>
    <row r="350" spans="1:26" x14ac:dyDescent="0.25">
      <c r="A350" s="30">
        <v>200</v>
      </c>
      <c r="B350" s="257">
        <v>1585782603</v>
      </c>
      <c r="C350" s="16" t="s">
        <v>436</v>
      </c>
      <c r="D350" s="16" t="s">
        <v>163</v>
      </c>
      <c r="E350" s="20" t="s">
        <v>664</v>
      </c>
      <c r="F350" s="87">
        <v>15</v>
      </c>
      <c r="G350" s="87">
        <v>263.56</v>
      </c>
      <c r="H350" s="72">
        <f>F350*G350</f>
        <v>3953.4</v>
      </c>
      <c r="I350" s="72">
        <v>400</v>
      </c>
      <c r="J350" s="30"/>
      <c r="K350" s="72" t="e">
        <f>VLOOKUP(#REF!,Tabisr,1)</f>
        <v>#REF!</v>
      </c>
      <c r="L350" s="68" t="e">
        <f>+H350-K350</f>
        <v>#REF!</v>
      </c>
      <c r="M350" s="73" t="e">
        <f>VLOOKUP(#REF!,Tabisr,4)</f>
        <v>#REF!</v>
      </c>
      <c r="N350" s="72">
        <f>(H350-2077.51)*10.88%</f>
        <v>204.09683200000001</v>
      </c>
      <c r="O350" s="72">
        <v>121.95</v>
      </c>
      <c r="P350" s="72">
        <v>309.77999999999997</v>
      </c>
      <c r="Q350" s="72"/>
      <c r="R350" s="72">
        <v>1260</v>
      </c>
      <c r="S350" s="72"/>
      <c r="T350" s="72"/>
      <c r="U350" s="72"/>
      <c r="V350" s="68">
        <f>H350+I350+J350-P350+Q350-R350-S350-T350-U350</f>
        <v>2783.62</v>
      </c>
      <c r="W350" s="68">
        <f>V350-I350</f>
        <v>2383.62</v>
      </c>
      <c r="Y350" s="14">
        <f t="shared" ref="Y350:Y351" si="163">H350+I350+J350-P350+Q350-R350-S350-T350-U350</f>
        <v>2783.62</v>
      </c>
      <c r="Z350" s="14">
        <f t="shared" ref="Z350:Z351" si="164">V350-I350</f>
        <v>2383.62</v>
      </c>
    </row>
    <row r="351" spans="1:26" s="12" customFormat="1" x14ac:dyDescent="0.25">
      <c r="A351" s="30">
        <v>202</v>
      </c>
      <c r="B351" s="45">
        <v>1585782620</v>
      </c>
      <c r="C351" s="16" t="s">
        <v>586</v>
      </c>
      <c r="D351" s="18" t="s">
        <v>163</v>
      </c>
      <c r="E351" s="18" t="s">
        <v>605</v>
      </c>
      <c r="F351" s="87">
        <v>15</v>
      </c>
      <c r="G351" s="87">
        <v>263.56</v>
      </c>
      <c r="H351" s="72">
        <f>F351*G351</f>
        <v>3953.4</v>
      </c>
      <c r="I351" s="72">
        <v>400</v>
      </c>
      <c r="J351" s="30"/>
      <c r="K351" s="72" t="e">
        <f>VLOOKUP(#REF!,Tabisr,1)</f>
        <v>#REF!</v>
      </c>
      <c r="L351" s="68" t="e">
        <f>+H351-K351</f>
        <v>#REF!</v>
      </c>
      <c r="M351" s="73" t="e">
        <f>VLOOKUP(#REF!,Tabisr,4)</f>
        <v>#REF!</v>
      </c>
      <c r="N351" s="72">
        <f>(H351-2077.51)*10.88%</f>
        <v>204.09683200000001</v>
      </c>
      <c r="O351" s="72">
        <v>121.95</v>
      </c>
      <c r="P351" s="72">
        <v>309.77999999999997</v>
      </c>
      <c r="Q351" s="72"/>
      <c r="R351" s="72"/>
      <c r="S351" s="72"/>
      <c r="T351" s="72"/>
      <c r="U351" s="72"/>
      <c r="V351" s="68">
        <f>H351+I351+J351-P351+Q351-R351-S351-T351-U351</f>
        <v>4043.62</v>
      </c>
      <c r="W351" s="68">
        <f>V351-I351</f>
        <v>3643.62</v>
      </c>
      <c r="Y351" s="14">
        <f t="shared" si="163"/>
        <v>4043.62</v>
      </c>
      <c r="Z351" s="14">
        <f t="shared" si="164"/>
        <v>3643.62</v>
      </c>
    </row>
    <row r="352" spans="1:26" s="10" customFormat="1" x14ac:dyDescent="0.25">
      <c r="A352" s="40"/>
      <c r="B352" s="54"/>
      <c r="C352" s="159"/>
      <c r="D352" s="160"/>
      <c r="E352" s="213"/>
      <c r="F352" s="84"/>
      <c r="G352" s="84"/>
      <c r="H352" s="85">
        <f>+SUM(H349:H351)</f>
        <v>12590.699999999999</v>
      </c>
      <c r="I352" s="85">
        <f>+SUM(I349:I351)</f>
        <v>1200</v>
      </c>
      <c r="J352" s="85">
        <f t="shared" ref="J352:U352" si="165">+SUM(J350:J351)</f>
        <v>0</v>
      </c>
      <c r="K352" s="85" t="e">
        <f t="shared" si="165"/>
        <v>#REF!</v>
      </c>
      <c r="L352" s="85" t="e">
        <f t="shared" si="165"/>
        <v>#REF!</v>
      </c>
      <c r="M352" s="85" t="e">
        <f t="shared" si="165"/>
        <v>#REF!</v>
      </c>
      <c r="N352" s="85">
        <f t="shared" si="165"/>
        <v>408.19366400000001</v>
      </c>
      <c r="O352" s="85">
        <f t="shared" si="165"/>
        <v>243.9</v>
      </c>
      <c r="P352" s="85">
        <f t="shared" si="165"/>
        <v>619.55999999999995</v>
      </c>
      <c r="Q352" s="85">
        <f t="shared" si="165"/>
        <v>0</v>
      </c>
      <c r="R352" s="85">
        <f t="shared" si="165"/>
        <v>1260</v>
      </c>
      <c r="S352" s="85">
        <f t="shared" si="165"/>
        <v>0</v>
      </c>
      <c r="T352" s="85">
        <f t="shared" si="165"/>
        <v>0</v>
      </c>
      <c r="U352" s="85">
        <f t="shared" si="165"/>
        <v>0</v>
      </c>
      <c r="V352" s="85">
        <f>+SUM(V349:V351)</f>
        <v>11444.261712</v>
      </c>
      <c r="W352" s="85">
        <f>+SUM(W349:W351)</f>
        <v>10244.261712</v>
      </c>
      <c r="Y352" s="15">
        <f>SUM(Y349:Y351)</f>
        <v>11444.261712</v>
      </c>
      <c r="Z352" s="15">
        <f>+SUM(Z349:Z351)</f>
        <v>10244.261712</v>
      </c>
    </row>
    <row r="353" spans="1:26" s="10" customFormat="1" x14ac:dyDescent="0.25">
      <c r="A353" s="40"/>
      <c r="B353" s="54"/>
      <c r="C353" s="159"/>
      <c r="D353" s="160"/>
      <c r="E353" s="213"/>
      <c r="F353" s="84"/>
      <c r="G353" s="84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Y353" s="14"/>
      <c r="Z353" s="14"/>
    </row>
    <row r="354" spans="1:26" s="10" customFormat="1" ht="18.75" x14ac:dyDescent="0.25">
      <c r="A354" s="266" t="s">
        <v>406</v>
      </c>
      <c r="B354" s="266"/>
      <c r="C354" s="266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Y354" s="14"/>
      <c r="Z354" s="14"/>
    </row>
    <row r="355" spans="1:26" s="10" customFormat="1" ht="34.5" customHeight="1" x14ac:dyDescent="0.25">
      <c r="A355" s="29" t="s">
        <v>69</v>
      </c>
      <c r="B355" s="223" t="s">
        <v>584</v>
      </c>
      <c r="C355" s="29" t="s">
        <v>17</v>
      </c>
      <c r="D355" s="29" t="s">
        <v>161</v>
      </c>
      <c r="E355" s="29" t="s">
        <v>143</v>
      </c>
      <c r="F355" s="29" t="s">
        <v>27</v>
      </c>
      <c r="G355" s="29" t="s">
        <v>19</v>
      </c>
      <c r="H355" s="29" t="s">
        <v>18</v>
      </c>
      <c r="I355" s="29" t="s">
        <v>66</v>
      </c>
      <c r="J355" s="29" t="s">
        <v>74</v>
      </c>
      <c r="K355" s="47" t="s">
        <v>301</v>
      </c>
      <c r="L355" s="47" t="s">
        <v>302</v>
      </c>
      <c r="M355" s="47" t="s">
        <v>303</v>
      </c>
      <c r="N355" s="47" t="s">
        <v>304</v>
      </c>
      <c r="O355" s="29" t="s">
        <v>305</v>
      </c>
      <c r="P355" s="29" t="s">
        <v>67</v>
      </c>
      <c r="Q355" s="29" t="s">
        <v>68</v>
      </c>
      <c r="R355" s="29" t="s">
        <v>20</v>
      </c>
      <c r="S355" s="29" t="s">
        <v>452</v>
      </c>
      <c r="T355" s="29" t="s">
        <v>72</v>
      </c>
      <c r="U355" s="29" t="s">
        <v>157</v>
      </c>
      <c r="V355" s="29" t="s">
        <v>155</v>
      </c>
      <c r="W355" s="29" t="s">
        <v>156</v>
      </c>
      <c r="Y355" s="14"/>
      <c r="Z355" s="14"/>
    </row>
    <row r="356" spans="1:26" s="10" customFormat="1" x14ac:dyDescent="0.25">
      <c r="A356" s="30">
        <v>203</v>
      </c>
      <c r="B356" s="45">
        <v>1585782638</v>
      </c>
      <c r="C356" s="16" t="s">
        <v>434</v>
      </c>
      <c r="D356" s="16" t="s">
        <v>254</v>
      </c>
      <c r="E356" s="20" t="s">
        <v>435</v>
      </c>
      <c r="F356" s="63">
        <v>15</v>
      </c>
      <c r="G356" s="72">
        <v>312.26</v>
      </c>
      <c r="H356" s="72">
        <f t="shared" ref="H356:H361" si="166">F356*G356</f>
        <v>4683.8999999999996</v>
      </c>
      <c r="I356" s="72">
        <v>400</v>
      </c>
      <c r="J356" s="72"/>
      <c r="K356" s="72">
        <f>VLOOKUP($H$284,Tabisr,1)</f>
        <v>244.81</v>
      </c>
      <c r="L356" s="68">
        <f>+H356-K356</f>
        <v>4439.0899999999992</v>
      </c>
      <c r="M356" s="73">
        <f>VLOOKUP($H$284,Tabisr,4)</f>
        <v>6.4000000000000001E-2</v>
      </c>
      <c r="N356" s="72">
        <f>(H356-4244.01)*17.92%</f>
        <v>78.828287999999901</v>
      </c>
      <c r="O356" s="72">
        <v>388.05</v>
      </c>
      <c r="P356" s="72">
        <f t="shared" ref="P356:P361" si="167">N356+O356</f>
        <v>466.87828799999988</v>
      </c>
      <c r="Q356" s="72">
        <f>VLOOKUP($H$356,Tabsub,3)</f>
        <v>0</v>
      </c>
      <c r="R356" s="72"/>
      <c r="S356" s="72"/>
      <c r="T356" s="72"/>
      <c r="U356" s="72"/>
      <c r="V356" s="68">
        <f t="shared" ref="V356:V361" si="168">H356+I356+J356-P356+Q356-R356-S356-T356-U356</f>
        <v>4617.0217119999998</v>
      </c>
      <c r="W356" s="68">
        <f t="shared" ref="W356:W361" si="169">V356-I356</f>
        <v>4217.0217119999998</v>
      </c>
      <c r="X356" s="12"/>
      <c r="Y356" s="14">
        <f>+H356+I356+J356+Q356-P356-R356-S356-T356-U356</f>
        <v>4617.0217119999998</v>
      </c>
      <c r="Z356" s="14">
        <f>+V356-I356</f>
        <v>4217.0217119999998</v>
      </c>
    </row>
    <row r="357" spans="1:26" s="10" customFormat="1" x14ac:dyDescent="0.25">
      <c r="A357" s="35">
        <v>204</v>
      </c>
      <c r="B357" s="45">
        <v>1585782646</v>
      </c>
      <c r="C357" s="151" t="s">
        <v>482</v>
      </c>
      <c r="D357" s="152" t="s">
        <v>163</v>
      </c>
      <c r="E357" s="185" t="s">
        <v>483</v>
      </c>
      <c r="F357" s="63">
        <v>15</v>
      </c>
      <c r="G357" s="87">
        <v>263.56</v>
      </c>
      <c r="H357" s="72">
        <f t="shared" si="166"/>
        <v>3953.4</v>
      </c>
      <c r="I357" s="72">
        <v>400</v>
      </c>
      <c r="J357" s="122"/>
      <c r="K357" s="123"/>
      <c r="L357" s="123"/>
      <c r="M357" s="123"/>
      <c r="N357" s="64">
        <f>(H357-3651.01)*16%</f>
        <v>48.382399999999983</v>
      </c>
      <c r="O357" s="72">
        <v>293.25</v>
      </c>
      <c r="P357" s="64">
        <f t="shared" si="167"/>
        <v>341.63239999999996</v>
      </c>
      <c r="Q357" s="122"/>
      <c r="R357" s="122"/>
      <c r="S357" s="122"/>
      <c r="T357" s="122"/>
      <c r="U357" s="122"/>
      <c r="V357" s="68">
        <f t="shared" si="168"/>
        <v>4011.7675999999997</v>
      </c>
      <c r="W357" s="66">
        <f t="shared" si="169"/>
        <v>3611.7675999999997</v>
      </c>
      <c r="Y357" s="14">
        <f>+H357+I357+J357+Q357-P357-R357-S357-T357-U357</f>
        <v>4011.7675999999997</v>
      </c>
      <c r="Z357" s="14">
        <f>+V357-I357</f>
        <v>3611.7675999999997</v>
      </c>
    </row>
    <row r="358" spans="1:26" s="10" customFormat="1" x14ac:dyDescent="0.25">
      <c r="A358" s="30">
        <v>205</v>
      </c>
      <c r="B358" s="45">
        <v>1585782654</v>
      </c>
      <c r="C358" s="16" t="s">
        <v>538</v>
      </c>
      <c r="D358" s="18" t="s">
        <v>183</v>
      </c>
      <c r="E358" s="18" t="s">
        <v>539</v>
      </c>
      <c r="F358" s="63">
        <v>15</v>
      </c>
      <c r="G358" s="87">
        <v>161.86000000000001</v>
      </c>
      <c r="H358" s="72">
        <f t="shared" si="166"/>
        <v>2427.9</v>
      </c>
      <c r="I358" s="72">
        <v>400</v>
      </c>
      <c r="J358" s="30"/>
      <c r="K358" s="72" t="e">
        <f>VLOOKUP(#REF!,Tabisr,1)</f>
        <v>#REF!</v>
      </c>
      <c r="L358" s="68" t="e">
        <f>+H358-K358</f>
        <v>#REF!</v>
      </c>
      <c r="M358" s="73" t="e">
        <f>VLOOKUP(#REF!,Tabisr,4)</f>
        <v>#REF!</v>
      </c>
      <c r="N358" s="72">
        <f>(H358-2077.51)*10.88%</f>
        <v>38.122431999999989</v>
      </c>
      <c r="O358" s="72">
        <v>121.95</v>
      </c>
      <c r="P358" s="72">
        <f t="shared" si="167"/>
        <v>160.07243199999999</v>
      </c>
      <c r="Q358" s="72">
        <f>VLOOKUP($H$344,Tabsub,3)</f>
        <v>125.1</v>
      </c>
      <c r="R358" s="72"/>
      <c r="S358" s="72"/>
      <c r="T358" s="72"/>
      <c r="U358" s="72"/>
      <c r="V358" s="68">
        <f t="shared" si="168"/>
        <v>2792.9275680000001</v>
      </c>
      <c r="W358" s="68">
        <f t="shared" si="169"/>
        <v>2392.9275680000001</v>
      </c>
      <c r="Y358" s="14">
        <f>+H358+I358+J358+Q358-P358-R358-S358-T358-U358</f>
        <v>2792.9275680000001</v>
      </c>
      <c r="Z358" s="14">
        <f>+V358-I358</f>
        <v>2392.9275680000001</v>
      </c>
    </row>
    <row r="359" spans="1:26" s="10" customFormat="1" x14ac:dyDescent="0.25">
      <c r="A359" s="35">
        <v>206</v>
      </c>
      <c r="B359" s="45">
        <v>1585782664</v>
      </c>
      <c r="C359" s="16" t="s">
        <v>550</v>
      </c>
      <c r="D359" s="171" t="s">
        <v>551</v>
      </c>
      <c r="E359" s="18" t="s">
        <v>552</v>
      </c>
      <c r="F359" s="63">
        <v>15</v>
      </c>
      <c r="G359" s="87">
        <v>207.03</v>
      </c>
      <c r="H359" s="72">
        <f t="shared" si="166"/>
        <v>3105.45</v>
      </c>
      <c r="I359" s="72">
        <v>400</v>
      </c>
      <c r="J359" s="30"/>
      <c r="K359" s="72">
        <f>VLOOKUP($H$361,Tabisr,1)</f>
        <v>2077.5100000000002</v>
      </c>
      <c r="L359" s="68">
        <f>+H359-K359</f>
        <v>1027.9399999999996</v>
      </c>
      <c r="M359" s="73">
        <f>VLOOKUP($H$361,Tabisr,4)</f>
        <v>0.10879999999999999</v>
      </c>
      <c r="N359" s="72">
        <f>(H359-2077.51)*10.88%+29.4</f>
        <v>141.23987199999996</v>
      </c>
      <c r="O359" s="72">
        <v>121.95</v>
      </c>
      <c r="P359" s="72">
        <f t="shared" si="167"/>
        <v>263.18987199999998</v>
      </c>
      <c r="Q359" s="72">
        <f>VLOOKUP($H$344,Tabsub,3)</f>
        <v>125.1</v>
      </c>
      <c r="R359" s="72"/>
      <c r="S359" s="72"/>
      <c r="T359" s="72"/>
      <c r="U359" s="72"/>
      <c r="V359" s="68">
        <f t="shared" si="168"/>
        <v>3367.3601279999998</v>
      </c>
      <c r="W359" s="68">
        <f t="shared" si="169"/>
        <v>2967.3601279999998</v>
      </c>
      <c r="Y359" s="14">
        <f>+H359+I359+J359+Q359-P359-R359-S359-T359-U359</f>
        <v>3367.3601279999998</v>
      </c>
      <c r="Z359" s="14">
        <f>+V359-I359</f>
        <v>2967.3601279999998</v>
      </c>
    </row>
    <row r="360" spans="1:26" s="10" customFormat="1" x14ac:dyDescent="0.25">
      <c r="A360" s="241">
        <v>208</v>
      </c>
      <c r="B360" s="242">
        <v>1516390045</v>
      </c>
      <c r="C360" s="243" t="s">
        <v>672</v>
      </c>
      <c r="D360" s="250" t="s">
        <v>366</v>
      </c>
      <c r="E360" s="250"/>
      <c r="F360" s="245">
        <v>15</v>
      </c>
      <c r="G360" s="263">
        <v>207.03</v>
      </c>
      <c r="H360" s="248">
        <f t="shared" si="166"/>
        <v>3105.45</v>
      </c>
      <c r="I360" s="248">
        <v>400</v>
      </c>
      <c r="J360" s="249"/>
      <c r="K360" s="248">
        <f>VLOOKUP($H$361,Tabisr,1)</f>
        <v>2077.5100000000002</v>
      </c>
      <c r="L360" s="251">
        <f>+H360-K360</f>
        <v>1027.9399999999996</v>
      </c>
      <c r="M360" s="252">
        <f>VLOOKUP($H$361,Tabisr,4)</f>
        <v>0.10879999999999999</v>
      </c>
      <c r="N360" s="248">
        <f>(H360-2077.51)*10.88%+29.4</f>
        <v>141.23987199999996</v>
      </c>
      <c r="O360" s="248">
        <v>121.95</v>
      </c>
      <c r="P360" s="248">
        <f t="shared" si="167"/>
        <v>263.18987199999998</v>
      </c>
      <c r="Q360" s="248">
        <f>VLOOKUP($H$344,Tabsub,3)</f>
        <v>125.1</v>
      </c>
      <c r="R360" s="248"/>
      <c r="S360" s="248"/>
      <c r="T360" s="248"/>
      <c r="U360" s="248"/>
      <c r="V360" s="251">
        <f t="shared" si="168"/>
        <v>3367.3601279999998</v>
      </c>
      <c r="W360" s="251">
        <f t="shared" si="169"/>
        <v>2967.3601279999998</v>
      </c>
      <c r="Y360" s="14"/>
      <c r="Z360" s="14"/>
    </row>
    <row r="361" spans="1:26" s="10" customFormat="1" x14ac:dyDescent="0.25">
      <c r="A361" s="30">
        <v>207</v>
      </c>
      <c r="B361" s="45">
        <v>1585782671</v>
      </c>
      <c r="C361" s="151" t="s">
        <v>71</v>
      </c>
      <c r="D361" s="151" t="s">
        <v>255</v>
      </c>
      <c r="E361" s="185" t="s">
        <v>93</v>
      </c>
      <c r="F361" s="63">
        <v>15</v>
      </c>
      <c r="G361" s="95">
        <v>207.03</v>
      </c>
      <c r="H361" s="64">
        <f t="shared" si="166"/>
        <v>3105.45</v>
      </c>
      <c r="I361" s="64">
        <v>400</v>
      </c>
      <c r="J361" s="31"/>
      <c r="K361" s="64">
        <f>VLOOKUP($H$361,Tabisr,1)</f>
        <v>2077.5100000000002</v>
      </c>
      <c r="L361" s="66">
        <f>+H361-K361</f>
        <v>1027.9399999999996</v>
      </c>
      <c r="M361" s="67">
        <f>VLOOKUP($H$361,Tabisr,4)</f>
        <v>0.10879999999999999</v>
      </c>
      <c r="N361" s="64">
        <f>(H361-2077.51)*10.88%+29.4</f>
        <v>141.23987199999996</v>
      </c>
      <c r="O361" s="72">
        <v>121.95</v>
      </c>
      <c r="P361" s="64">
        <f t="shared" si="167"/>
        <v>263.18987199999998</v>
      </c>
      <c r="Q361" s="64">
        <f>VLOOKUP($H$344,Tabsub,3)</f>
        <v>125.1</v>
      </c>
      <c r="R361" s="64"/>
      <c r="S361" s="64"/>
      <c r="T361" s="64"/>
      <c r="U361" s="64"/>
      <c r="V361" s="68">
        <f t="shared" si="168"/>
        <v>3367.3601279999998</v>
      </c>
      <c r="W361" s="66">
        <f t="shared" si="169"/>
        <v>2967.3601279999998</v>
      </c>
      <c r="Y361" s="14">
        <f>+H361+I361+J361+Q361-P361-R361-S361-T361-U361</f>
        <v>3367.3601279999998</v>
      </c>
      <c r="Z361" s="14">
        <f>+V361-I361</f>
        <v>2967.3601279999998</v>
      </c>
    </row>
    <row r="362" spans="1:26" s="10" customFormat="1" x14ac:dyDescent="0.25">
      <c r="A362" s="40"/>
      <c r="B362" s="54"/>
      <c r="C362" s="153"/>
      <c r="D362" s="26"/>
      <c r="E362" s="212"/>
      <c r="F362" s="69"/>
      <c r="G362" s="121"/>
      <c r="H362" s="76">
        <f>+SUM(H356:H361)</f>
        <v>20381.55</v>
      </c>
      <c r="I362" s="76">
        <f>+SUM(I356:I361)</f>
        <v>2400</v>
      </c>
      <c r="J362" s="76">
        <f t="shared" ref="J362:W362" si="170">+SUM(J356:J361)</f>
        <v>0</v>
      </c>
      <c r="K362" s="76" t="e">
        <f t="shared" si="170"/>
        <v>#REF!</v>
      </c>
      <c r="L362" s="76" t="e">
        <f t="shared" si="170"/>
        <v>#REF!</v>
      </c>
      <c r="M362" s="76" t="e">
        <f t="shared" si="170"/>
        <v>#REF!</v>
      </c>
      <c r="N362" s="76">
        <f t="shared" si="170"/>
        <v>589.05273599999987</v>
      </c>
      <c r="O362" s="76">
        <f t="shared" si="170"/>
        <v>1169.1000000000001</v>
      </c>
      <c r="P362" s="76">
        <f t="shared" si="170"/>
        <v>1758.1527359999995</v>
      </c>
      <c r="Q362" s="76">
        <f t="shared" si="170"/>
        <v>500.4</v>
      </c>
      <c r="R362" s="76">
        <f t="shared" si="170"/>
        <v>0</v>
      </c>
      <c r="S362" s="76">
        <f t="shared" si="170"/>
        <v>0</v>
      </c>
      <c r="T362" s="76">
        <f t="shared" si="170"/>
        <v>0</v>
      </c>
      <c r="U362" s="76">
        <f t="shared" si="170"/>
        <v>0</v>
      </c>
      <c r="V362" s="76">
        <f t="shared" si="170"/>
        <v>21523.797264000001</v>
      </c>
      <c r="W362" s="76">
        <f t="shared" si="170"/>
        <v>19123.797264000001</v>
      </c>
      <c r="Y362" s="15">
        <f>+SUM(Y356:Y361)</f>
        <v>18156.437136</v>
      </c>
      <c r="Z362" s="15">
        <f>+SUM(Z356:Z361)</f>
        <v>16156.437136</v>
      </c>
    </row>
    <row r="363" spans="1:26" s="10" customFormat="1" x14ac:dyDescent="0.25">
      <c r="A363" s="40"/>
      <c r="B363" s="54"/>
      <c r="C363" s="153"/>
      <c r="D363" s="26"/>
      <c r="E363" s="212"/>
      <c r="F363" s="69"/>
      <c r="G363" s="121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Y363" s="15"/>
      <c r="Z363" s="15"/>
    </row>
    <row r="364" spans="1:26" s="10" customFormat="1" x14ac:dyDescent="0.25">
      <c r="A364" s="40"/>
      <c r="B364" s="54"/>
      <c r="C364" s="153"/>
      <c r="D364" s="26"/>
      <c r="E364" s="212"/>
      <c r="F364" s="69"/>
      <c r="G364" s="121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Y364" s="14"/>
      <c r="Z364" s="14"/>
    </row>
    <row r="365" spans="1:26" s="10" customFormat="1" ht="18.75" x14ac:dyDescent="0.25">
      <c r="A365" s="266" t="s">
        <v>565</v>
      </c>
      <c r="B365" s="266"/>
      <c r="C365" s="266"/>
      <c r="D365" s="266"/>
      <c r="E365" s="266"/>
      <c r="F365" s="266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266"/>
      <c r="W365" s="266"/>
      <c r="Y365" s="14"/>
      <c r="Z365" s="14"/>
    </row>
    <row r="366" spans="1:26" s="10" customFormat="1" ht="33.75" customHeight="1" x14ac:dyDescent="0.25">
      <c r="A366" s="29" t="s">
        <v>69</v>
      </c>
      <c r="B366" s="223" t="s">
        <v>584</v>
      </c>
      <c r="C366" s="29" t="s">
        <v>17</v>
      </c>
      <c r="D366" s="29" t="s">
        <v>161</v>
      </c>
      <c r="E366" s="29" t="s">
        <v>143</v>
      </c>
      <c r="F366" s="29" t="s">
        <v>27</v>
      </c>
      <c r="G366" s="29" t="s">
        <v>19</v>
      </c>
      <c r="H366" s="29" t="s">
        <v>18</v>
      </c>
      <c r="I366" s="29" t="s">
        <v>66</v>
      </c>
      <c r="J366" s="29" t="s">
        <v>74</v>
      </c>
      <c r="K366" s="47" t="s">
        <v>301</v>
      </c>
      <c r="L366" s="47" t="s">
        <v>302</v>
      </c>
      <c r="M366" s="47" t="s">
        <v>303</v>
      </c>
      <c r="N366" s="47" t="s">
        <v>304</v>
      </c>
      <c r="O366" s="29" t="s">
        <v>305</v>
      </c>
      <c r="P366" s="29" t="s">
        <v>67</v>
      </c>
      <c r="Q366" s="29" t="s">
        <v>68</v>
      </c>
      <c r="R366" s="29" t="s">
        <v>20</v>
      </c>
      <c r="S366" s="29" t="s">
        <v>452</v>
      </c>
      <c r="T366" s="29" t="s">
        <v>72</v>
      </c>
      <c r="U366" s="29" t="s">
        <v>157</v>
      </c>
      <c r="V366" s="29" t="s">
        <v>155</v>
      </c>
      <c r="W366" s="29" t="s">
        <v>156</v>
      </c>
      <c r="Y366" s="14"/>
      <c r="Z366" s="14"/>
    </row>
    <row r="367" spans="1:26" s="10" customFormat="1" x14ac:dyDescent="0.25">
      <c r="A367" s="30">
        <v>208</v>
      </c>
      <c r="B367" s="45">
        <v>1585782689</v>
      </c>
      <c r="C367" s="16" t="s">
        <v>28</v>
      </c>
      <c r="D367" s="18" t="s">
        <v>342</v>
      </c>
      <c r="E367" s="18" t="s">
        <v>96</v>
      </c>
      <c r="F367" s="63">
        <v>15</v>
      </c>
      <c r="G367" s="72">
        <v>414.83</v>
      </c>
      <c r="H367" s="68">
        <f>F367*G367</f>
        <v>6222.45</v>
      </c>
      <c r="I367" s="60">
        <v>400</v>
      </c>
      <c r="J367" s="60"/>
      <c r="K367" s="72">
        <f>VLOOKUP($H$209,Tabisr,1)</f>
        <v>5081.01</v>
      </c>
      <c r="L367" s="68">
        <f>+H367-K367</f>
        <v>1141.4399999999996</v>
      </c>
      <c r="M367" s="73">
        <f>VLOOKUP($H$209,Tabisr,4)</f>
        <v>0.21360000000000001</v>
      </c>
      <c r="N367" s="64">
        <f>+L367*M367</f>
        <v>243.81158399999993</v>
      </c>
      <c r="O367" s="72">
        <f>VLOOKUP($H$209,Tabisr,3)</f>
        <v>538.20000000000005</v>
      </c>
      <c r="P367" s="60">
        <f>+N367+O367</f>
        <v>782.01158399999997</v>
      </c>
      <c r="Q367" s="72">
        <f>VLOOKUP($H$367,Tabsub,3)</f>
        <v>0</v>
      </c>
      <c r="R367" s="60"/>
      <c r="S367" s="60"/>
      <c r="T367" s="60"/>
      <c r="U367" s="60"/>
      <c r="V367" s="68">
        <f>H367+I367+J367-P367+Q367-R367-S367-T367-U367</f>
        <v>5840.438416</v>
      </c>
      <c r="W367" s="68">
        <f>V367-I367</f>
        <v>5440.438416</v>
      </c>
      <c r="Y367" s="14">
        <f>+H367+I367+J367+Q367-P367-R367-S367-T367-U367</f>
        <v>5840.438416</v>
      </c>
      <c r="Z367" s="14">
        <f>+V367-I367</f>
        <v>5440.438416</v>
      </c>
    </row>
    <row r="368" spans="1:26" s="10" customFormat="1" x14ac:dyDescent="0.25">
      <c r="A368" s="31">
        <v>209</v>
      </c>
      <c r="B368" s="45">
        <v>1585782697</v>
      </c>
      <c r="C368" s="16" t="s">
        <v>411</v>
      </c>
      <c r="D368" s="152" t="s">
        <v>342</v>
      </c>
      <c r="E368" s="185" t="s">
        <v>95</v>
      </c>
      <c r="F368" s="86">
        <v>15</v>
      </c>
      <c r="G368" s="64">
        <v>414.83</v>
      </c>
      <c r="H368" s="64">
        <f>F368*G368</f>
        <v>6222.45</v>
      </c>
      <c r="I368" s="113">
        <v>400</v>
      </c>
      <c r="J368" s="113"/>
      <c r="K368" s="64">
        <f>VLOOKUP($H$209,Tabisr,1)</f>
        <v>5081.01</v>
      </c>
      <c r="L368" s="66">
        <f>+H368-K368</f>
        <v>1141.4399999999996</v>
      </c>
      <c r="M368" s="67">
        <f>VLOOKUP($H$209,Tabisr,4)</f>
        <v>0.21360000000000001</v>
      </c>
      <c r="N368" s="64">
        <f>+L368*M368</f>
        <v>243.81158399999993</v>
      </c>
      <c r="O368" s="72">
        <f>VLOOKUP($H$209,Tabisr,3)</f>
        <v>538.20000000000005</v>
      </c>
      <c r="P368" s="60">
        <f>+N368+O368</f>
        <v>782.01158399999997</v>
      </c>
      <c r="Q368" s="64">
        <f>VLOOKUP($H$367,Tabsub,3)</f>
        <v>0</v>
      </c>
      <c r="R368" s="113"/>
      <c r="S368" s="113">
        <v>1185</v>
      </c>
      <c r="T368" s="113"/>
      <c r="U368" s="113"/>
      <c r="V368" s="68">
        <f>H368+I368+J368-P368+Q368-R368-S368-T368-U368</f>
        <v>4655.438416</v>
      </c>
      <c r="W368" s="66">
        <f>V368-I368</f>
        <v>4255.438416</v>
      </c>
      <c r="Y368" s="14">
        <f>+H368+I368+J368+Q368-P368-R368-S368-T368-U368</f>
        <v>4655.438416</v>
      </c>
      <c r="Z368" s="14">
        <f>+V368-I368</f>
        <v>4255.438416</v>
      </c>
    </row>
    <row r="369" spans="1:26" s="10" customFormat="1" x14ac:dyDescent="0.25">
      <c r="A369" s="40"/>
      <c r="B369" s="54"/>
      <c r="C369" s="153"/>
      <c r="D369" s="26"/>
      <c r="E369" s="212"/>
      <c r="F369" s="69"/>
      <c r="G369" s="121"/>
      <c r="H369" s="76">
        <f>SUM(H367:H368)</f>
        <v>12444.9</v>
      </c>
      <c r="I369" s="76">
        <f>SUM(I367:I368)</f>
        <v>800</v>
      </c>
      <c r="J369" s="76">
        <f t="shared" ref="J369:W369" si="171">SUM(J367:J368)</f>
        <v>0</v>
      </c>
      <c r="K369" s="76">
        <f t="shared" si="171"/>
        <v>10162.02</v>
      </c>
      <c r="L369" s="76">
        <f t="shared" si="171"/>
        <v>2282.8799999999992</v>
      </c>
      <c r="M369" s="76">
        <f t="shared" si="171"/>
        <v>0.42720000000000002</v>
      </c>
      <c r="N369" s="76">
        <f t="shared" si="171"/>
        <v>487.62316799999985</v>
      </c>
      <c r="O369" s="76">
        <f t="shared" si="171"/>
        <v>1076.4000000000001</v>
      </c>
      <c r="P369" s="76">
        <f t="shared" si="171"/>
        <v>1564.0231679999999</v>
      </c>
      <c r="Q369" s="76">
        <f t="shared" si="171"/>
        <v>0</v>
      </c>
      <c r="R369" s="76">
        <f t="shared" si="171"/>
        <v>0</v>
      </c>
      <c r="S369" s="76">
        <f t="shared" si="171"/>
        <v>1185</v>
      </c>
      <c r="T369" s="76">
        <f t="shared" si="171"/>
        <v>0</v>
      </c>
      <c r="U369" s="76">
        <f t="shared" si="171"/>
        <v>0</v>
      </c>
      <c r="V369" s="76">
        <f t="shared" si="171"/>
        <v>10495.876832</v>
      </c>
      <c r="W369" s="76">
        <f t="shared" si="171"/>
        <v>9695.8768319999999</v>
      </c>
      <c r="Y369" s="15">
        <f>SUM(Y367:Y368)</f>
        <v>10495.876832</v>
      </c>
      <c r="Z369" s="15">
        <f>SUM(Z367:Z368)</f>
        <v>9695.8768319999999</v>
      </c>
    </row>
    <row r="370" spans="1:26" s="10" customFormat="1" x14ac:dyDescent="0.25">
      <c r="A370" s="40"/>
      <c r="B370" s="54"/>
      <c r="C370" s="153"/>
      <c r="D370" s="26"/>
      <c r="E370" s="212"/>
      <c r="F370" s="69"/>
      <c r="G370" s="121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Y370" s="15"/>
      <c r="Z370" s="15"/>
    </row>
    <row r="371" spans="1:26" s="10" customFormat="1" x14ac:dyDescent="0.25">
      <c r="A371" s="40"/>
      <c r="B371" s="54"/>
      <c r="C371" s="153"/>
      <c r="D371" s="26"/>
      <c r="E371" s="212"/>
      <c r="F371" s="69"/>
      <c r="G371" s="121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Y371" s="15"/>
      <c r="Z371" s="15"/>
    </row>
    <row r="372" spans="1:26" s="10" customFormat="1" ht="18.75" x14ac:dyDescent="0.25">
      <c r="A372" s="264" t="s">
        <v>583</v>
      </c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Y372" s="15"/>
      <c r="Z372" s="15"/>
    </row>
    <row r="373" spans="1:26" s="10" customFormat="1" ht="35.25" customHeight="1" x14ac:dyDescent="0.25">
      <c r="A373" s="29" t="s">
        <v>69</v>
      </c>
      <c r="B373" s="223" t="s">
        <v>584</v>
      </c>
      <c r="C373" s="29" t="s">
        <v>17</v>
      </c>
      <c r="D373" s="29" t="s">
        <v>161</v>
      </c>
      <c r="E373" s="29" t="s">
        <v>143</v>
      </c>
      <c r="F373" s="29" t="s">
        <v>27</v>
      </c>
      <c r="G373" s="29" t="s">
        <v>19</v>
      </c>
      <c r="H373" s="29" t="s">
        <v>18</v>
      </c>
      <c r="I373" s="29" t="s">
        <v>66</v>
      </c>
      <c r="J373" s="29" t="s">
        <v>74</v>
      </c>
      <c r="K373" s="47" t="s">
        <v>301</v>
      </c>
      <c r="L373" s="47" t="s">
        <v>302</v>
      </c>
      <c r="M373" s="47" t="s">
        <v>303</v>
      </c>
      <c r="N373" s="47" t="s">
        <v>304</v>
      </c>
      <c r="O373" s="29" t="s">
        <v>305</v>
      </c>
      <c r="P373" s="29" t="s">
        <v>67</v>
      </c>
      <c r="Q373" s="29" t="s">
        <v>68</v>
      </c>
      <c r="R373" s="29" t="s">
        <v>20</v>
      </c>
      <c r="S373" s="29" t="s">
        <v>452</v>
      </c>
      <c r="T373" s="29" t="s">
        <v>72</v>
      </c>
      <c r="U373" s="29" t="s">
        <v>157</v>
      </c>
      <c r="V373" s="29" t="s">
        <v>155</v>
      </c>
      <c r="W373" s="29" t="s">
        <v>156</v>
      </c>
      <c r="Y373" s="15"/>
      <c r="Z373" s="15"/>
    </row>
    <row r="374" spans="1:26" s="10" customFormat="1" ht="18" x14ac:dyDescent="0.25">
      <c r="A374" s="38">
        <v>210</v>
      </c>
      <c r="B374" s="45">
        <v>1585782701</v>
      </c>
      <c r="C374" s="16" t="s">
        <v>64</v>
      </c>
      <c r="D374" s="220" t="s">
        <v>441</v>
      </c>
      <c r="E374" s="163" t="s">
        <v>81</v>
      </c>
      <c r="F374" s="38">
        <v>15</v>
      </c>
      <c r="G374" s="109">
        <v>661.33</v>
      </c>
      <c r="H374" s="110">
        <f>F374*G374</f>
        <v>9919.9500000000007</v>
      </c>
      <c r="I374" s="110"/>
      <c r="J374" s="110"/>
      <c r="K374" s="110">
        <v>1571.8</v>
      </c>
      <c r="L374" s="110"/>
      <c r="M374" s="110"/>
      <c r="N374" s="110"/>
      <c r="O374" s="110"/>
      <c r="P374" s="110">
        <v>1571.8</v>
      </c>
      <c r="Q374" s="110"/>
      <c r="R374" s="110"/>
      <c r="S374" s="64"/>
      <c r="T374" s="64"/>
      <c r="U374" s="64"/>
      <c r="V374" s="64">
        <f t="shared" ref="V374:V399" si="172">H374+I374+J374-P374+Q374-R374-S374-T374-U374</f>
        <v>8348.1500000000015</v>
      </c>
      <c r="W374" s="64">
        <f t="shared" ref="W374:W399" si="173">V374-I374</f>
        <v>8348.1500000000015</v>
      </c>
      <c r="X374" s="230"/>
      <c r="Y374" s="14">
        <f t="shared" ref="Y374:Y399" si="174">+H374+I374+J374+Q374-P374-R374-S374-T374-U374</f>
        <v>8348.1500000000015</v>
      </c>
      <c r="Z374" s="14">
        <f t="shared" ref="Z374:Z399" si="175">+V374-I374</f>
        <v>8348.1500000000015</v>
      </c>
    </row>
    <row r="375" spans="1:26" s="10" customFormat="1" x14ac:dyDescent="0.25">
      <c r="A375" s="38">
        <v>214</v>
      </c>
      <c r="B375" s="45">
        <v>1585782743</v>
      </c>
      <c r="C375" s="16" t="s">
        <v>336</v>
      </c>
      <c r="D375" s="16" t="s">
        <v>445</v>
      </c>
      <c r="E375" s="162" t="s">
        <v>337</v>
      </c>
      <c r="F375" s="38">
        <v>15</v>
      </c>
      <c r="G375" s="100">
        <v>401.66</v>
      </c>
      <c r="H375" s="101">
        <f t="shared" ref="H375" si="176">F375*G375</f>
        <v>6024.9000000000005</v>
      </c>
      <c r="I375" s="101">
        <v>400</v>
      </c>
      <c r="J375" s="101"/>
      <c r="K375" s="101">
        <v>673.07</v>
      </c>
      <c r="L375" s="101"/>
      <c r="M375" s="101"/>
      <c r="N375" s="101"/>
      <c r="O375" s="101"/>
      <c r="P375" s="101">
        <v>673.07</v>
      </c>
      <c r="Q375" s="110"/>
      <c r="R375" s="110">
        <v>870</v>
      </c>
      <c r="S375" s="64"/>
      <c r="T375" s="64"/>
      <c r="U375" s="64">
        <v>300</v>
      </c>
      <c r="V375" s="64">
        <f t="shared" si="172"/>
        <v>4581.8300000000008</v>
      </c>
      <c r="W375" s="64">
        <f t="shared" si="173"/>
        <v>4181.8300000000008</v>
      </c>
      <c r="X375" s="230"/>
      <c r="Y375" s="14">
        <f t="shared" ref="Y375:Y376" si="177">+H375+I375+J375+Q375-P375-R375-S375-T375-U375</f>
        <v>4581.8300000000008</v>
      </c>
      <c r="Z375" s="14">
        <f t="shared" ref="Z375:Z376" si="178">+V375-I375</f>
        <v>4181.8300000000008</v>
      </c>
    </row>
    <row r="376" spans="1:26" s="10" customFormat="1" x14ac:dyDescent="0.25">
      <c r="A376" s="38">
        <v>215</v>
      </c>
      <c r="B376" s="45">
        <v>1585782752</v>
      </c>
      <c r="C376" s="16" t="s">
        <v>242</v>
      </c>
      <c r="D376" s="16" t="s">
        <v>264</v>
      </c>
      <c r="E376" s="162" t="s">
        <v>243</v>
      </c>
      <c r="F376" s="38">
        <v>15</v>
      </c>
      <c r="G376" s="100">
        <v>401.66</v>
      </c>
      <c r="H376" s="101">
        <f t="shared" ref="H376:H399" si="179">F376*G376</f>
        <v>6024.9000000000005</v>
      </c>
      <c r="I376" s="101">
        <v>400</v>
      </c>
      <c r="J376" s="101"/>
      <c r="K376" s="101">
        <v>673.07</v>
      </c>
      <c r="L376" s="101"/>
      <c r="M376" s="101"/>
      <c r="N376" s="101"/>
      <c r="O376" s="101"/>
      <c r="P376" s="101">
        <v>673.07</v>
      </c>
      <c r="Q376" s="110"/>
      <c r="R376" s="110"/>
      <c r="S376" s="64"/>
      <c r="T376" s="64"/>
      <c r="U376" s="64"/>
      <c r="V376" s="64">
        <f t="shared" ref="V376" si="180">H376+I376+J376-P376+Q376-R376-S376-T376-U376</f>
        <v>5751.8300000000008</v>
      </c>
      <c r="W376" s="64">
        <f t="shared" ref="W376" si="181">V376-I376</f>
        <v>5351.8300000000008</v>
      </c>
      <c r="X376" s="230"/>
      <c r="Y376" s="14">
        <f t="shared" si="177"/>
        <v>5751.8300000000008</v>
      </c>
      <c r="Z376" s="14">
        <f t="shared" si="178"/>
        <v>5351.8300000000008</v>
      </c>
    </row>
    <row r="377" spans="1:26" s="10" customFormat="1" x14ac:dyDescent="0.25">
      <c r="A377" s="38">
        <v>217</v>
      </c>
      <c r="B377" s="45">
        <v>1585782778</v>
      </c>
      <c r="C377" s="16" t="s">
        <v>522</v>
      </c>
      <c r="D377" s="16" t="s">
        <v>191</v>
      </c>
      <c r="E377" s="162" t="s">
        <v>523</v>
      </c>
      <c r="F377" s="38">
        <v>15</v>
      </c>
      <c r="G377" s="100">
        <v>317.87</v>
      </c>
      <c r="H377" s="101">
        <f>F377*G377</f>
        <v>4768.05</v>
      </c>
      <c r="I377" s="101">
        <v>400</v>
      </c>
      <c r="J377" s="101"/>
      <c r="K377" s="101">
        <v>488.66</v>
      </c>
      <c r="L377" s="101"/>
      <c r="M377" s="101"/>
      <c r="N377" s="101"/>
      <c r="O377" s="101"/>
      <c r="P377" s="101">
        <v>488.66</v>
      </c>
      <c r="Q377" s="110"/>
      <c r="R377" s="110"/>
      <c r="S377" s="64">
        <v>476</v>
      </c>
      <c r="T377" s="64"/>
      <c r="U377" s="64"/>
      <c r="V377" s="64">
        <f t="shared" si="172"/>
        <v>4203.3900000000003</v>
      </c>
      <c r="W377" s="64">
        <f t="shared" si="173"/>
        <v>3803.3900000000003</v>
      </c>
      <c r="Y377" s="14">
        <f t="shared" si="174"/>
        <v>4203.3900000000003</v>
      </c>
      <c r="Z377" s="14">
        <f t="shared" si="175"/>
        <v>3803.3900000000003</v>
      </c>
    </row>
    <row r="378" spans="1:26" s="10" customFormat="1" x14ac:dyDescent="0.25">
      <c r="A378" s="34">
        <v>220</v>
      </c>
      <c r="B378" s="51"/>
      <c r="C378" s="155" t="s">
        <v>458</v>
      </c>
      <c r="D378" s="155" t="s">
        <v>169</v>
      </c>
      <c r="E378" s="259"/>
      <c r="F378" s="34"/>
      <c r="G378" s="260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79"/>
      <c r="T378" s="79"/>
      <c r="U378" s="79"/>
      <c r="V378" s="79"/>
      <c r="W378" s="79"/>
      <c r="Y378" s="14">
        <f t="shared" si="174"/>
        <v>0</v>
      </c>
      <c r="Z378" s="14">
        <f t="shared" si="175"/>
        <v>0</v>
      </c>
    </row>
    <row r="379" spans="1:26" s="10" customFormat="1" x14ac:dyDescent="0.25">
      <c r="A379" s="38">
        <v>240</v>
      </c>
      <c r="B379" s="45">
        <v>1588823556</v>
      </c>
      <c r="C379" s="16" t="s">
        <v>624</v>
      </c>
      <c r="D379" s="16" t="s">
        <v>169</v>
      </c>
      <c r="E379" s="16" t="s">
        <v>625</v>
      </c>
      <c r="F379" s="38">
        <v>15</v>
      </c>
      <c r="G379" s="100">
        <v>317.87</v>
      </c>
      <c r="H379" s="101">
        <f>F379*G379</f>
        <v>4768.05</v>
      </c>
      <c r="I379" s="101">
        <v>400</v>
      </c>
      <c r="J379" s="101"/>
      <c r="K379" s="101">
        <v>488.66</v>
      </c>
      <c r="L379" s="101"/>
      <c r="M379" s="101">
        <v>870</v>
      </c>
      <c r="N379" s="101"/>
      <c r="O379" s="101"/>
      <c r="P379" s="101">
        <v>488.66</v>
      </c>
      <c r="Q379" s="101"/>
      <c r="R379" s="101"/>
      <c r="S379" s="72"/>
      <c r="T379" s="72"/>
      <c r="U379" s="72"/>
      <c r="V379" s="72">
        <f t="shared" si="172"/>
        <v>4679.3900000000003</v>
      </c>
      <c r="W379" s="72">
        <f t="shared" si="173"/>
        <v>4279.3900000000003</v>
      </c>
      <c r="Y379" s="14">
        <f t="shared" si="174"/>
        <v>4679.3900000000003</v>
      </c>
      <c r="Z379" s="14">
        <f t="shared" si="175"/>
        <v>4279.3900000000003</v>
      </c>
    </row>
    <row r="380" spans="1:26" s="10" customFormat="1" x14ac:dyDescent="0.25">
      <c r="A380" s="38">
        <v>222</v>
      </c>
      <c r="B380" s="45">
        <v>1585782824</v>
      </c>
      <c r="C380" s="16" t="s">
        <v>60</v>
      </c>
      <c r="D380" s="151" t="s">
        <v>169</v>
      </c>
      <c r="E380" s="163" t="s">
        <v>79</v>
      </c>
      <c r="F380" s="38">
        <v>15</v>
      </c>
      <c r="G380" s="109">
        <v>251.21</v>
      </c>
      <c r="H380" s="110">
        <f t="shared" si="179"/>
        <v>3768.15</v>
      </c>
      <c r="I380" s="110">
        <v>400</v>
      </c>
      <c r="J380" s="110"/>
      <c r="K380" s="110">
        <v>311.99</v>
      </c>
      <c r="L380" s="110"/>
      <c r="M380" s="110"/>
      <c r="N380" s="110"/>
      <c r="O380" s="110"/>
      <c r="P380" s="110">
        <v>311.99</v>
      </c>
      <c r="Q380" s="110"/>
      <c r="R380" s="110"/>
      <c r="S380" s="64"/>
      <c r="T380" s="64"/>
      <c r="U380" s="64"/>
      <c r="V380" s="64">
        <f t="shared" si="172"/>
        <v>3856.16</v>
      </c>
      <c r="W380" s="64">
        <f t="shared" si="173"/>
        <v>3456.16</v>
      </c>
      <c r="Y380" s="14">
        <f t="shared" si="174"/>
        <v>3856.16</v>
      </c>
      <c r="Z380" s="14">
        <f t="shared" si="175"/>
        <v>3456.16</v>
      </c>
    </row>
    <row r="381" spans="1:26" s="10" customFormat="1" x14ac:dyDescent="0.25">
      <c r="A381" s="35">
        <v>223</v>
      </c>
      <c r="B381" s="45">
        <v>1517245338</v>
      </c>
      <c r="C381" s="16" t="s">
        <v>501</v>
      </c>
      <c r="D381" s="16" t="s">
        <v>169</v>
      </c>
      <c r="E381" s="162" t="s">
        <v>502</v>
      </c>
      <c r="F381" s="35">
        <v>15</v>
      </c>
      <c r="G381" s="100">
        <v>317.87</v>
      </c>
      <c r="H381" s="101">
        <f t="shared" si="179"/>
        <v>4768.05</v>
      </c>
      <c r="I381" s="101">
        <v>400</v>
      </c>
      <c r="J381" s="101"/>
      <c r="K381" s="101">
        <v>488.66</v>
      </c>
      <c r="L381" s="101"/>
      <c r="M381" s="101"/>
      <c r="N381" s="101"/>
      <c r="O381" s="101"/>
      <c r="P381" s="101">
        <v>488.66</v>
      </c>
      <c r="Q381" s="101"/>
      <c r="R381" s="101"/>
      <c r="S381" s="72"/>
      <c r="T381" s="72"/>
      <c r="U381" s="72"/>
      <c r="V381" s="72">
        <f t="shared" si="172"/>
        <v>4679.3900000000003</v>
      </c>
      <c r="W381" s="72">
        <f t="shared" si="173"/>
        <v>4279.3900000000003</v>
      </c>
      <c r="Y381" s="14">
        <f t="shared" si="174"/>
        <v>4679.3900000000003</v>
      </c>
      <c r="Z381" s="14">
        <f t="shared" si="175"/>
        <v>4279.3900000000003</v>
      </c>
    </row>
    <row r="382" spans="1:26" s="10" customFormat="1" x14ac:dyDescent="0.25">
      <c r="A382" s="56">
        <v>235</v>
      </c>
      <c r="B382" s="52"/>
      <c r="C382" s="21" t="s">
        <v>561</v>
      </c>
      <c r="D382" s="21" t="s">
        <v>191</v>
      </c>
      <c r="E382" s="177" t="s">
        <v>562</v>
      </c>
      <c r="F382" s="56">
        <v>15</v>
      </c>
      <c r="G382" s="124">
        <v>317.87</v>
      </c>
      <c r="H382" s="125">
        <f>F382*G382</f>
        <v>4768.05</v>
      </c>
      <c r="I382" s="125">
        <v>400</v>
      </c>
      <c r="J382" s="125"/>
      <c r="K382" s="125">
        <v>488.66</v>
      </c>
      <c r="L382" s="125"/>
      <c r="M382" s="125"/>
      <c r="N382" s="125"/>
      <c r="O382" s="125"/>
      <c r="P382" s="125">
        <v>488.66</v>
      </c>
      <c r="Q382" s="125"/>
      <c r="R382" s="125"/>
      <c r="S382" s="91"/>
      <c r="T382" s="91"/>
      <c r="U382" s="91"/>
      <c r="V382" s="91">
        <f t="shared" si="172"/>
        <v>4679.3900000000003</v>
      </c>
      <c r="W382" s="91">
        <f t="shared" si="173"/>
        <v>4279.3900000000003</v>
      </c>
      <c r="Y382" s="14">
        <f t="shared" si="174"/>
        <v>4679.3900000000003</v>
      </c>
      <c r="Z382" s="14">
        <f t="shared" si="175"/>
        <v>4279.3900000000003</v>
      </c>
    </row>
    <row r="383" spans="1:26" s="10" customFormat="1" x14ac:dyDescent="0.25">
      <c r="A383" s="56">
        <v>231</v>
      </c>
      <c r="B383" s="52"/>
      <c r="C383" s="21" t="s">
        <v>346</v>
      </c>
      <c r="D383" s="21" t="s">
        <v>191</v>
      </c>
      <c r="E383" s="177" t="s">
        <v>347</v>
      </c>
      <c r="F383" s="56">
        <v>15</v>
      </c>
      <c r="G383" s="124">
        <v>317.87</v>
      </c>
      <c r="H383" s="125">
        <f>F383*G383</f>
        <v>4768.05</v>
      </c>
      <c r="I383" s="125">
        <v>400</v>
      </c>
      <c r="J383" s="125"/>
      <c r="K383" s="125">
        <v>488.66</v>
      </c>
      <c r="L383" s="125"/>
      <c r="M383" s="125"/>
      <c r="N383" s="125">
        <v>887</v>
      </c>
      <c r="O383" s="125"/>
      <c r="P383" s="125">
        <v>488.66</v>
      </c>
      <c r="Q383" s="125"/>
      <c r="R383" s="125"/>
      <c r="S383" s="91">
        <v>1100</v>
      </c>
      <c r="T383" s="91"/>
      <c r="U383" s="91"/>
      <c r="V383" s="91">
        <f t="shared" si="172"/>
        <v>3579.3900000000003</v>
      </c>
      <c r="W383" s="91">
        <f t="shared" si="173"/>
        <v>3179.3900000000003</v>
      </c>
      <c r="Y383" s="14">
        <f t="shared" si="174"/>
        <v>3579.3900000000003</v>
      </c>
      <c r="Z383" s="14">
        <f t="shared" si="175"/>
        <v>3179.3900000000003</v>
      </c>
    </row>
    <row r="384" spans="1:26" s="10" customFormat="1" x14ac:dyDescent="0.25">
      <c r="A384" s="35">
        <v>229</v>
      </c>
      <c r="B384" s="45">
        <v>1511565211</v>
      </c>
      <c r="C384" s="16" t="s">
        <v>666</v>
      </c>
      <c r="D384" s="16" t="s">
        <v>191</v>
      </c>
      <c r="E384" s="162" t="s">
        <v>667</v>
      </c>
      <c r="F384" s="35">
        <v>15</v>
      </c>
      <c r="G384" s="100">
        <v>317.87</v>
      </c>
      <c r="H384" s="101">
        <f>F384*G384</f>
        <v>4768.05</v>
      </c>
      <c r="I384" s="101">
        <v>400</v>
      </c>
      <c r="J384" s="101"/>
      <c r="K384" s="101">
        <v>488.66</v>
      </c>
      <c r="L384" s="101"/>
      <c r="M384" s="101"/>
      <c r="N384" s="101">
        <v>887</v>
      </c>
      <c r="O384" s="101"/>
      <c r="P384" s="101">
        <v>488.66</v>
      </c>
      <c r="Q384" s="101"/>
      <c r="R384" s="101"/>
      <c r="S384" s="72"/>
      <c r="T384" s="72"/>
      <c r="U384" s="72"/>
      <c r="V384" s="72">
        <f t="shared" ref="V384" si="182">H384+I384+J384-P384+Q384-R384-S384-T384-U384</f>
        <v>4679.3900000000003</v>
      </c>
      <c r="W384" s="72">
        <f t="shared" ref="W384" si="183">V384-I384</f>
        <v>4279.3900000000003</v>
      </c>
      <c r="X384" s="12"/>
      <c r="Y384" s="14">
        <f t="shared" si="174"/>
        <v>4679.3900000000003</v>
      </c>
      <c r="Z384" s="14">
        <f t="shared" si="175"/>
        <v>4279.3900000000003</v>
      </c>
    </row>
    <row r="385" spans="1:26" s="10" customFormat="1" x14ac:dyDescent="0.25">
      <c r="A385" s="38">
        <v>216</v>
      </c>
      <c r="B385" s="45">
        <v>1585782760</v>
      </c>
      <c r="C385" s="16" t="s">
        <v>511</v>
      </c>
      <c r="D385" s="16" t="s">
        <v>191</v>
      </c>
      <c r="E385" s="162" t="s">
        <v>512</v>
      </c>
      <c r="F385" s="38">
        <v>15</v>
      </c>
      <c r="G385" s="100">
        <v>317.87</v>
      </c>
      <c r="H385" s="101">
        <f>F385*G385</f>
        <v>4768.05</v>
      </c>
      <c r="I385" s="101">
        <v>400</v>
      </c>
      <c r="J385" s="101"/>
      <c r="K385" s="101">
        <v>488.66</v>
      </c>
      <c r="L385" s="101"/>
      <c r="M385" s="101">
        <v>870</v>
      </c>
      <c r="N385" s="101"/>
      <c r="O385" s="101"/>
      <c r="P385" s="101">
        <v>488.66</v>
      </c>
      <c r="Q385" s="110"/>
      <c r="R385" s="110">
        <v>870</v>
      </c>
      <c r="S385" s="64"/>
      <c r="T385" s="64"/>
      <c r="U385" s="64"/>
      <c r="V385" s="64">
        <f>H385+I385+J385-P385+Q385-R385-S385-T385-U385</f>
        <v>3809.3900000000003</v>
      </c>
      <c r="W385" s="64">
        <f>V385-I385</f>
        <v>3409.3900000000003</v>
      </c>
      <c r="Y385" s="14">
        <f>+H385+I385+J385+Q385-P385-R385-S385-T385-U385</f>
        <v>3809.3900000000003</v>
      </c>
      <c r="Z385" s="14">
        <f>+V385-I385</f>
        <v>3409.3900000000003</v>
      </c>
    </row>
    <row r="386" spans="1:26" s="10" customFormat="1" x14ac:dyDescent="0.25">
      <c r="A386" s="38">
        <v>221</v>
      </c>
      <c r="B386" s="45">
        <v>1585782816</v>
      </c>
      <c r="C386" s="16" t="s">
        <v>492</v>
      </c>
      <c r="D386" s="16" t="s">
        <v>191</v>
      </c>
      <c r="E386" s="162" t="s">
        <v>493</v>
      </c>
      <c r="F386" s="38">
        <v>15</v>
      </c>
      <c r="G386" s="100">
        <v>317.87</v>
      </c>
      <c r="H386" s="101">
        <f>F386*G386</f>
        <v>4768.05</v>
      </c>
      <c r="I386" s="101">
        <v>400</v>
      </c>
      <c r="J386" s="101"/>
      <c r="K386" s="101">
        <v>488.66</v>
      </c>
      <c r="L386" s="101"/>
      <c r="M386" s="101"/>
      <c r="N386" s="101"/>
      <c r="O386" s="101"/>
      <c r="P386" s="101">
        <v>488.66</v>
      </c>
      <c r="Q386" s="110"/>
      <c r="R386" s="110"/>
      <c r="S386" s="64"/>
      <c r="T386" s="64"/>
      <c r="U386" s="64"/>
      <c r="V386" s="64">
        <f>H386+I386+J386-P386+Q386-R386-S386-T386-U386</f>
        <v>4679.3900000000003</v>
      </c>
      <c r="W386" s="64">
        <f>V386-I386</f>
        <v>4279.3900000000003</v>
      </c>
      <c r="Y386" s="14">
        <f>+H386+I386+J386+Q386-P386-R386-S386-T386-U386</f>
        <v>4679.3900000000003</v>
      </c>
      <c r="Z386" s="14">
        <f>+V386-I386</f>
        <v>4279.3900000000003</v>
      </c>
    </row>
    <row r="387" spans="1:26" s="10" customFormat="1" x14ac:dyDescent="0.25">
      <c r="A387" s="38">
        <v>224</v>
      </c>
      <c r="B387" s="45">
        <v>1585782834</v>
      </c>
      <c r="C387" s="16" t="s">
        <v>244</v>
      </c>
      <c r="D387" s="151" t="s">
        <v>191</v>
      </c>
      <c r="E387" s="162" t="s">
        <v>564</v>
      </c>
      <c r="F387" s="38">
        <v>15</v>
      </c>
      <c r="G387" s="109">
        <v>317.87</v>
      </c>
      <c r="H387" s="110">
        <f t="shared" si="179"/>
        <v>4768.05</v>
      </c>
      <c r="I387" s="110">
        <v>400</v>
      </c>
      <c r="J387" s="110"/>
      <c r="K387" s="110">
        <v>488.66</v>
      </c>
      <c r="L387" s="110"/>
      <c r="M387" s="110"/>
      <c r="N387" s="110"/>
      <c r="O387" s="110"/>
      <c r="P387" s="110">
        <v>488.66</v>
      </c>
      <c r="Q387" s="110"/>
      <c r="R387" s="110"/>
      <c r="S387" s="64"/>
      <c r="T387" s="64"/>
      <c r="U387" s="64"/>
      <c r="V387" s="64">
        <f t="shared" si="172"/>
        <v>4679.3900000000003</v>
      </c>
      <c r="W387" s="64">
        <f t="shared" si="173"/>
        <v>4279.3900000000003</v>
      </c>
      <c r="Y387" s="14">
        <f t="shared" si="174"/>
        <v>4679.3900000000003</v>
      </c>
      <c r="Z387" s="14">
        <f t="shared" si="175"/>
        <v>4279.3900000000003</v>
      </c>
    </row>
    <row r="388" spans="1:26" s="12" customFormat="1" x14ac:dyDescent="0.25">
      <c r="A388" s="38">
        <v>225</v>
      </c>
      <c r="B388" s="45">
        <v>1585782841</v>
      </c>
      <c r="C388" s="16" t="s">
        <v>510</v>
      </c>
      <c r="D388" s="16" t="s">
        <v>191</v>
      </c>
      <c r="E388" s="162" t="s">
        <v>514</v>
      </c>
      <c r="F388" s="38">
        <v>15</v>
      </c>
      <c r="G388" s="100">
        <v>317.87</v>
      </c>
      <c r="H388" s="101">
        <f t="shared" si="179"/>
        <v>4768.05</v>
      </c>
      <c r="I388" s="101">
        <v>400</v>
      </c>
      <c r="J388" s="101"/>
      <c r="K388" s="101">
        <v>488.66</v>
      </c>
      <c r="L388" s="101"/>
      <c r="M388" s="101"/>
      <c r="N388" s="101"/>
      <c r="O388" s="101"/>
      <c r="P388" s="101">
        <v>488.66</v>
      </c>
      <c r="Q388" s="101"/>
      <c r="R388" s="101"/>
      <c r="S388" s="72">
        <v>970</v>
      </c>
      <c r="T388" s="72"/>
      <c r="U388" s="72"/>
      <c r="V388" s="72">
        <f t="shared" si="172"/>
        <v>3709.3900000000003</v>
      </c>
      <c r="W388" s="72">
        <f t="shared" si="173"/>
        <v>3309.3900000000003</v>
      </c>
      <c r="Y388" s="24">
        <f t="shared" si="174"/>
        <v>3709.3900000000003</v>
      </c>
      <c r="Z388" s="24">
        <f t="shared" si="175"/>
        <v>3309.3900000000003</v>
      </c>
    </row>
    <row r="389" spans="1:26" s="10" customFormat="1" x14ac:dyDescent="0.25">
      <c r="A389" s="38">
        <v>226</v>
      </c>
      <c r="B389" s="45">
        <v>1585782859</v>
      </c>
      <c r="C389" s="16" t="s">
        <v>159</v>
      </c>
      <c r="D389" s="151" t="s">
        <v>191</v>
      </c>
      <c r="E389" s="163" t="s">
        <v>160</v>
      </c>
      <c r="F389" s="38">
        <v>15</v>
      </c>
      <c r="G389" s="109">
        <v>317.87</v>
      </c>
      <c r="H389" s="110">
        <f t="shared" si="179"/>
        <v>4768.05</v>
      </c>
      <c r="I389" s="110">
        <v>400</v>
      </c>
      <c r="J389" s="110"/>
      <c r="K389" s="110">
        <v>488.66</v>
      </c>
      <c r="L389" s="110"/>
      <c r="M389" s="110">
        <v>710</v>
      </c>
      <c r="N389" s="110"/>
      <c r="O389" s="110"/>
      <c r="P389" s="110">
        <v>488.66</v>
      </c>
      <c r="Q389" s="110"/>
      <c r="R389" s="110"/>
      <c r="S389" s="64"/>
      <c r="T389" s="64"/>
      <c r="U389" s="64"/>
      <c r="V389" s="64">
        <f t="shared" si="172"/>
        <v>4679.3900000000003</v>
      </c>
      <c r="W389" s="64">
        <f t="shared" si="173"/>
        <v>4279.3900000000003</v>
      </c>
      <c r="Y389" s="14">
        <f t="shared" si="174"/>
        <v>4679.3900000000003</v>
      </c>
      <c r="Z389" s="14">
        <f t="shared" si="175"/>
        <v>4279.3900000000003</v>
      </c>
    </row>
    <row r="390" spans="1:26" s="10" customFormat="1" x14ac:dyDescent="0.25">
      <c r="A390" s="38">
        <v>227</v>
      </c>
      <c r="B390" s="45">
        <v>1585782867</v>
      </c>
      <c r="C390" s="16" t="s">
        <v>61</v>
      </c>
      <c r="D390" s="151" t="s">
        <v>191</v>
      </c>
      <c r="E390" s="163" t="s">
        <v>145</v>
      </c>
      <c r="F390" s="38">
        <v>15</v>
      </c>
      <c r="G390" s="109">
        <v>317.87</v>
      </c>
      <c r="H390" s="110">
        <f t="shared" si="179"/>
        <v>4768.05</v>
      </c>
      <c r="I390" s="110">
        <v>400</v>
      </c>
      <c r="J390" s="110"/>
      <c r="K390" s="110">
        <v>488.66</v>
      </c>
      <c r="L390" s="110"/>
      <c r="M390" s="110">
        <v>870</v>
      </c>
      <c r="N390" s="110"/>
      <c r="O390" s="110"/>
      <c r="P390" s="110">
        <v>488.66</v>
      </c>
      <c r="Q390" s="110"/>
      <c r="R390" s="110">
        <v>870</v>
      </c>
      <c r="S390" s="64">
        <v>945</v>
      </c>
      <c r="T390" s="64"/>
      <c r="U390" s="64"/>
      <c r="V390" s="64">
        <f t="shared" si="172"/>
        <v>2864.3900000000003</v>
      </c>
      <c r="W390" s="64">
        <f t="shared" si="173"/>
        <v>2464.3900000000003</v>
      </c>
      <c r="Y390" s="14">
        <f t="shared" si="174"/>
        <v>2864.3900000000003</v>
      </c>
      <c r="Z390" s="14">
        <f t="shared" si="175"/>
        <v>2464.3900000000003</v>
      </c>
    </row>
    <row r="391" spans="1:26" s="10" customFormat="1" x14ac:dyDescent="0.25">
      <c r="A391" s="38">
        <v>228</v>
      </c>
      <c r="B391" s="45">
        <v>1585782875</v>
      </c>
      <c r="C391" s="16" t="s">
        <v>62</v>
      </c>
      <c r="D391" s="151" t="s">
        <v>191</v>
      </c>
      <c r="E391" s="163" t="s">
        <v>80</v>
      </c>
      <c r="F391" s="38">
        <v>15</v>
      </c>
      <c r="G391" s="109">
        <v>317.87</v>
      </c>
      <c r="H391" s="110">
        <f t="shared" si="179"/>
        <v>4768.05</v>
      </c>
      <c r="I391" s="110">
        <v>400</v>
      </c>
      <c r="J391" s="110"/>
      <c r="K391" s="110">
        <v>488.66</v>
      </c>
      <c r="L391" s="110"/>
      <c r="M391" s="110">
        <v>610</v>
      </c>
      <c r="N391" s="110"/>
      <c r="O391" s="110"/>
      <c r="P391" s="110">
        <v>488.66</v>
      </c>
      <c r="Q391" s="110"/>
      <c r="R391" s="110"/>
      <c r="S391" s="64"/>
      <c r="T391" s="64"/>
      <c r="U391" s="64"/>
      <c r="V391" s="64">
        <f t="shared" si="172"/>
        <v>4679.3900000000003</v>
      </c>
      <c r="W391" s="64">
        <f t="shared" si="173"/>
        <v>4279.3900000000003</v>
      </c>
      <c r="Y391" s="14">
        <f t="shared" si="174"/>
        <v>4679.3900000000003</v>
      </c>
      <c r="Z391" s="14">
        <f t="shared" si="175"/>
        <v>4279.3900000000003</v>
      </c>
    </row>
    <row r="392" spans="1:26" x14ac:dyDescent="0.25">
      <c r="A392" s="30">
        <v>241</v>
      </c>
      <c r="B392" s="45">
        <v>2893229408</v>
      </c>
      <c r="C392" s="16" t="s">
        <v>644</v>
      </c>
      <c r="D392" s="18" t="s">
        <v>642</v>
      </c>
      <c r="E392" s="18" t="s">
        <v>643</v>
      </c>
      <c r="F392" s="38">
        <v>15</v>
      </c>
      <c r="G392" s="109">
        <v>317.87</v>
      </c>
      <c r="H392" s="110">
        <f t="shared" ref="H392" si="184">F392*G392</f>
        <v>4768.05</v>
      </c>
      <c r="I392" s="110">
        <v>400</v>
      </c>
      <c r="J392" s="110"/>
      <c r="K392" s="110">
        <v>488.66</v>
      </c>
      <c r="L392" s="110"/>
      <c r="M392" s="110">
        <v>610</v>
      </c>
      <c r="N392" s="110"/>
      <c r="O392" s="110"/>
      <c r="P392" s="110">
        <v>488.66</v>
      </c>
      <c r="Q392" s="110"/>
      <c r="R392" s="110"/>
      <c r="S392" s="64"/>
      <c r="T392" s="64"/>
      <c r="U392" s="64"/>
      <c r="V392" s="64">
        <f t="shared" si="172"/>
        <v>4679.3900000000003</v>
      </c>
      <c r="W392" s="64">
        <f t="shared" si="173"/>
        <v>4279.3900000000003</v>
      </c>
      <c r="Y392" s="14">
        <f t="shared" si="174"/>
        <v>4679.3900000000003</v>
      </c>
      <c r="Z392" s="14">
        <f t="shared" si="175"/>
        <v>4279.3900000000003</v>
      </c>
    </row>
    <row r="393" spans="1:26" s="10" customFormat="1" x14ac:dyDescent="0.25">
      <c r="A393" s="38">
        <v>230</v>
      </c>
      <c r="B393" s="45">
        <v>1585782892</v>
      </c>
      <c r="C393" s="16" t="s">
        <v>65</v>
      </c>
      <c r="D393" s="151" t="s">
        <v>191</v>
      </c>
      <c r="E393" s="163" t="s">
        <v>82</v>
      </c>
      <c r="F393" s="38">
        <v>15</v>
      </c>
      <c r="G393" s="109">
        <v>317.87</v>
      </c>
      <c r="H393" s="110">
        <f t="shared" si="179"/>
        <v>4768.05</v>
      </c>
      <c r="I393" s="110">
        <v>400</v>
      </c>
      <c r="J393" s="110"/>
      <c r="K393" s="110">
        <v>488.66</v>
      </c>
      <c r="L393" s="110"/>
      <c r="M393" s="110">
        <v>870</v>
      </c>
      <c r="N393" s="110"/>
      <c r="O393" s="110"/>
      <c r="P393" s="110">
        <v>488.66</v>
      </c>
      <c r="Q393" s="110"/>
      <c r="R393" s="110">
        <v>870</v>
      </c>
      <c r="S393" s="64"/>
      <c r="T393" s="64"/>
      <c r="U393" s="64"/>
      <c r="V393" s="64">
        <f t="shared" si="172"/>
        <v>3809.3900000000003</v>
      </c>
      <c r="W393" s="64">
        <f t="shared" si="173"/>
        <v>3409.3900000000003</v>
      </c>
      <c r="Y393" s="14">
        <f t="shared" si="174"/>
        <v>3809.3900000000003</v>
      </c>
      <c r="Z393" s="14">
        <f t="shared" si="175"/>
        <v>3409.3900000000003</v>
      </c>
    </row>
    <row r="394" spans="1:26" s="10" customFormat="1" x14ac:dyDescent="0.25">
      <c r="A394" s="38">
        <v>232</v>
      </c>
      <c r="B394" s="45">
        <v>1585782905</v>
      </c>
      <c r="C394" s="16" t="s">
        <v>252</v>
      </c>
      <c r="D394" s="151" t="s">
        <v>191</v>
      </c>
      <c r="E394" s="163" t="s">
        <v>253</v>
      </c>
      <c r="F394" s="38">
        <v>15</v>
      </c>
      <c r="G394" s="109">
        <v>317.87</v>
      </c>
      <c r="H394" s="110">
        <f t="shared" si="179"/>
        <v>4768.05</v>
      </c>
      <c r="I394" s="110">
        <v>400</v>
      </c>
      <c r="J394" s="110"/>
      <c r="K394" s="110">
        <v>488.66</v>
      </c>
      <c r="L394" s="110"/>
      <c r="M394" s="110"/>
      <c r="N394" s="110"/>
      <c r="O394" s="110"/>
      <c r="P394" s="110">
        <v>488.66</v>
      </c>
      <c r="Q394" s="110"/>
      <c r="R394" s="110"/>
      <c r="S394" s="64"/>
      <c r="T394" s="64"/>
      <c r="U394" s="64"/>
      <c r="V394" s="64">
        <f t="shared" si="172"/>
        <v>4679.3900000000003</v>
      </c>
      <c r="W394" s="64">
        <f t="shared" si="173"/>
        <v>4279.3900000000003</v>
      </c>
      <c r="Y394" s="14">
        <f t="shared" si="174"/>
        <v>4679.3900000000003</v>
      </c>
      <c r="Z394" s="14">
        <f t="shared" si="175"/>
        <v>4279.3900000000003</v>
      </c>
    </row>
    <row r="395" spans="1:26" s="10" customFormat="1" x14ac:dyDescent="0.25">
      <c r="A395" s="38">
        <v>234</v>
      </c>
      <c r="B395" s="45">
        <v>1585782922</v>
      </c>
      <c r="C395" s="16" t="s">
        <v>268</v>
      </c>
      <c r="D395" s="151" t="s">
        <v>191</v>
      </c>
      <c r="E395" s="163" t="s">
        <v>269</v>
      </c>
      <c r="F395" s="38">
        <v>15</v>
      </c>
      <c r="G395" s="109">
        <v>317.87</v>
      </c>
      <c r="H395" s="110">
        <f t="shared" si="179"/>
        <v>4768.05</v>
      </c>
      <c r="I395" s="110">
        <v>400</v>
      </c>
      <c r="J395" s="110"/>
      <c r="K395" s="110">
        <v>488.66</v>
      </c>
      <c r="L395" s="110"/>
      <c r="M395" s="110">
        <v>870</v>
      </c>
      <c r="N395" s="110"/>
      <c r="O395" s="110"/>
      <c r="P395" s="110">
        <v>488.66</v>
      </c>
      <c r="Q395" s="110"/>
      <c r="R395" s="110">
        <v>800</v>
      </c>
      <c r="S395" s="64"/>
      <c r="T395" s="64"/>
      <c r="U395" s="64"/>
      <c r="V395" s="64">
        <f t="shared" si="172"/>
        <v>3879.3900000000003</v>
      </c>
      <c r="W395" s="64">
        <f t="shared" si="173"/>
        <v>3479.3900000000003</v>
      </c>
      <c r="Y395" s="14">
        <f t="shared" si="174"/>
        <v>3879.3900000000003</v>
      </c>
      <c r="Z395" s="14">
        <f t="shared" si="175"/>
        <v>3479.3900000000003</v>
      </c>
    </row>
    <row r="396" spans="1:26" s="10" customFormat="1" ht="27" x14ac:dyDescent="0.25">
      <c r="A396" s="38">
        <v>236</v>
      </c>
      <c r="B396" s="45">
        <v>1585782930</v>
      </c>
      <c r="C396" s="16" t="s">
        <v>59</v>
      </c>
      <c r="D396" s="220" t="s">
        <v>190</v>
      </c>
      <c r="E396" s="163" t="s">
        <v>310</v>
      </c>
      <c r="F396" s="38">
        <v>15</v>
      </c>
      <c r="G396" s="109">
        <v>401.66</v>
      </c>
      <c r="H396" s="110">
        <f t="shared" si="179"/>
        <v>6024.9000000000005</v>
      </c>
      <c r="I396" s="110">
        <v>400</v>
      </c>
      <c r="J396" s="110"/>
      <c r="K396" s="110">
        <v>587.66</v>
      </c>
      <c r="L396" s="110"/>
      <c r="M396" s="110">
        <v>870</v>
      </c>
      <c r="N396" s="110"/>
      <c r="O396" s="110">
        <v>1793.71</v>
      </c>
      <c r="P396" s="110">
        <v>587.66</v>
      </c>
      <c r="Q396" s="110"/>
      <c r="R396" s="110">
        <v>870</v>
      </c>
      <c r="S396" s="64"/>
      <c r="T396" s="64">
        <v>1793.71</v>
      </c>
      <c r="U396" s="64"/>
      <c r="V396" s="64">
        <f t="shared" si="172"/>
        <v>3173.5300000000007</v>
      </c>
      <c r="W396" s="64">
        <f t="shared" si="173"/>
        <v>2773.5300000000007</v>
      </c>
      <c r="Y396" s="14">
        <f t="shared" si="174"/>
        <v>3173.5300000000007</v>
      </c>
      <c r="Z396" s="14">
        <f t="shared" si="175"/>
        <v>2773.5300000000007</v>
      </c>
    </row>
    <row r="397" spans="1:26" s="10" customFormat="1" ht="27" x14ac:dyDescent="0.25">
      <c r="A397" s="38">
        <v>237</v>
      </c>
      <c r="B397" s="45">
        <v>1585782948</v>
      </c>
      <c r="C397" s="16" t="s">
        <v>540</v>
      </c>
      <c r="D397" s="158" t="s">
        <v>312</v>
      </c>
      <c r="E397" s="163" t="s">
        <v>541</v>
      </c>
      <c r="F397" s="38">
        <v>15</v>
      </c>
      <c r="G397" s="100">
        <v>317.87</v>
      </c>
      <c r="H397" s="101">
        <f t="shared" si="179"/>
        <v>4768.05</v>
      </c>
      <c r="I397" s="101">
        <v>400</v>
      </c>
      <c r="J397" s="101"/>
      <c r="K397" s="101">
        <v>311.99</v>
      </c>
      <c r="L397" s="101"/>
      <c r="M397" s="101"/>
      <c r="N397" s="101"/>
      <c r="O397" s="101"/>
      <c r="P397" s="101">
        <v>311.99</v>
      </c>
      <c r="Q397" s="101"/>
      <c r="R397" s="101"/>
      <c r="S397" s="64"/>
      <c r="T397" s="64"/>
      <c r="U397" s="64"/>
      <c r="V397" s="64">
        <f t="shared" si="172"/>
        <v>4856.0600000000004</v>
      </c>
      <c r="W397" s="64">
        <f t="shared" si="173"/>
        <v>4456.0600000000004</v>
      </c>
      <c r="Y397" s="14">
        <f t="shared" si="174"/>
        <v>4856.0600000000004</v>
      </c>
      <c r="Z397" s="14">
        <f t="shared" si="175"/>
        <v>4456.0600000000004</v>
      </c>
    </row>
    <row r="398" spans="1:26" s="10" customFormat="1" ht="27" x14ac:dyDescent="0.25">
      <c r="A398" s="38">
        <v>238</v>
      </c>
      <c r="B398" s="45">
        <v>1585782956</v>
      </c>
      <c r="C398" s="16" t="s">
        <v>338</v>
      </c>
      <c r="D398" s="220" t="s">
        <v>312</v>
      </c>
      <c r="E398" s="163" t="s">
        <v>339</v>
      </c>
      <c r="F398" s="38">
        <v>15</v>
      </c>
      <c r="G398" s="109">
        <v>317.87</v>
      </c>
      <c r="H398" s="110">
        <f t="shared" si="179"/>
        <v>4768.05</v>
      </c>
      <c r="I398" s="110">
        <v>400</v>
      </c>
      <c r="J398" s="110"/>
      <c r="K398" s="110">
        <v>488.66</v>
      </c>
      <c r="L398" s="110"/>
      <c r="M398" s="110">
        <v>1000</v>
      </c>
      <c r="N398" s="110"/>
      <c r="O398" s="110"/>
      <c r="P398" s="110">
        <v>488.66</v>
      </c>
      <c r="Q398" s="110"/>
      <c r="R398" s="110">
        <v>1150</v>
      </c>
      <c r="S398" s="64"/>
      <c r="T398" s="64"/>
      <c r="U398" s="64"/>
      <c r="V398" s="64">
        <f t="shared" si="172"/>
        <v>3529.3900000000003</v>
      </c>
      <c r="W398" s="64">
        <f t="shared" si="173"/>
        <v>3129.3900000000003</v>
      </c>
      <c r="Y398" s="14">
        <f t="shared" si="174"/>
        <v>3529.3900000000003</v>
      </c>
      <c r="Z398" s="14">
        <f t="shared" si="175"/>
        <v>3129.3900000000003</v>
      </c>
    </row>
    <row r="399" spans="1:26" s="10" customFormat="1" ht="27" x14ac:dyDescent="0.25">
      <c r="A399" s="38">
        <v>239</v>
      </c>
      <c r="B399" s="45">
        <v>1543997200</v>
      </c>
      <c r="C399" s="16" t="s">
        <v>473</v>
      </c>
      <c r="D399" s="220" t="s">
        <v>312</v>
      </c>
      <c r="E399" s="178" t="s">
        <v>474</v>
      </c>
      <c r="F399" s="38">
        <v>15</v>
      </c>
      <c r="G399" s="109">
        <v>317.87</v>
      </c>
      <c r="H399" s="110">
        <f t="shared" si="179"/>
        <v>4768.05</v>
      </c>
      <c r="I399" s="110">
        <v>400</v>
      </c>
      <c r="J399" s="110"/>
      <c r="K399" s="110">
        <v>488.66</v>
      </c>
      <c r="L399" s="110"/>
      <c r="M399" s="110"/>
      <c r="N399" s="110"/>
      <c r="O399" s="110"/>
      <c r="P399" s="110">
        <v>488.66</v>
      </c>
      <c r="Q399" s="110"/>
      <c r="R399" s="110"/>
      <c r="S399" s="64"/>
      <c r="T399" s="64"/>
      <c r="U399" s="64"/>
      <c r="V399" s="64">
        <f t="shared" si="172"/>
        <v>4679.3900000000003</v>
      </c>
      <c r="W399" s="64">
        <f t="shared" si="173"/>
        <v>4279.3900000000003</v>
      </c>
      <c r="Y399" s="14">
        <f t="shared" si="174"/>
        <v>4679.3900000000003</v>
      </c>
      <c r="Z399" s="14">
        <f t="shared" si="175"/>
        <v>4279.3900000000003</v>
      </c>
    </row>
    <row r="400" spans="1:26" s="10" customFormat="1" x14ac:dyDescent="0.2">
      <c r="A400" s="42"/>
      <c r="B400" s="27"/>
      <c r="C400" s="179"/>
      <c r="D400" s="179"/>
      <c r="E400" s="215"/>
      <c r="F400" s="284"/>
      <c r="G400" s="284"/>
      <c r="H400" s="126">
        <f t="shared" ref="H400:W400" si="185">SUM(H374:H399)</f>
        <v>127123.80000000005</v>
      </c>
      <c r="I400" s="126">
        <f t="shared" si="185"/>
        <v>9600</v>
      </c>
      <c r="J400" s="126">
        <f t="shared" si="185"/>
        <v>0</v>
      </c>
      <c r="K400" s="126">
        <f t="shared" si="185"/>
        <v>13414.119999999997</v>
      </c>
      <c r="L400" s="126">
        <f t="shared" si="185"/>
        <v>0</v>
      </c>
      <c r="M400" s="126">
        <f t="shared" si="185"/>
        <v>8150</v>
      </c>
      <c r="N400" s="126">
        <f t="shared" si="185"/>
        <v>1774</v>
      </c>
      <c r="O400" s="126">
        <f t="shared" si="185"/>
        <v>1793.71</v>
      </c>
      <c r="P400" s="126">
        <f t="shared" si="185"/>
        <v>13414.119999999997</v>
      </c>
      <c r="Q400" s="126">
        <f t="shared" si="185"/>
        <v>0</v>
      </c>
      <c r="R400" s="126">
        <f t="shared" si="185"/>
        <v>6300</v>
      </c>
      <c r="S400" s="76">
        <f t="shared" si="185"/>
        <v>3491</v>
      </c>
      <c r="T400" s="76">
        <f t="shared" si="185"/>
        <v>1793.71</v>
      </c>
      <c r="U400" s="76">
        <f t="shared" si="185"/>
        <v>300</v>
      </c>
      <c r="V400" s="76">
        <f t="shared" si="185"/>
        <v>111424.97</v>
      </c>
      <c r="W400" s="76">
        <f t="shared" si="185"/>
        <v>101824.97</v>
      </c>
      <c r="Y400" s="15">
        <f>SUM(Y374:Y399)</f>
        <v>111424.97</v>
      </c>
      <c r="Z400" s="15">
        <f>SUM(Z374:Z399)</f>
        <v>101824.97</v>
      </c>
    </row>
    <row r="401" spans="1:26" s="10" customFormat="1" x14ac:dyDescent="0.25">
      <c r="A401" s="40"/>
      <c r="B401" s="54"/>
      <c r="C401" s="153"/>
      <c r="D401" s="26"/>
      <c r="E401" s="212"/>
      <c r="F401" s="69"/>
      <c r="G401" s="121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Y401" s="15"/>
      <c r="Z401" s="15"/>
    </row>
    <row r="402" spans="1:26" s="10" customFormat="1" ht="15.75" thickBot="1" x14ac:dyDescent="0.3">
      <c r="A402" s="40"/>
      <c r="B402" s="54"/>
      <c r="C402" s="159"/>
      <c r="D402" s="160"/>
      <c r="E402" s="213"/>
      <c r="F402" s="84"/>
      <c r="G402" s="84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</row>
    <row r="403" spans="1:26" ht="15.75" thickBot="1" x14ac:dyDescent="0.3">
      <c r="A403" s="43"/>
      <c r="B403" s="54"/>
      <c r="D403" s="240"/>
      <c r="E403" s="216" t="s">
        <v>197</v>
      </c>
      <c r="F403" s="127"/>
      <c r="G403" s="127"/>
      <c r="H403" s="128">
        <f t="shared" ref="H403:W403" si="186">H400+H369+H362+H352+H345+H336+H329+H318+H295+H286+H279+H274+H236+H228+H222+H210+H189+H176+H163+H156+H149+H132+H119+H109+H102+H92+H86+H81+H73+H57+H50+H41+H30+H19</f>
        <v>1224241.3800000001</v>
      </c>
      <c r="I403" s="128">
        <f t="shared" si="186"/>
        <v>76400</v>
      </c>
      <c r="J403" s="128">
        <f t="shared" si="186"/>
        <v>2555.2579999999998</v>
      </c>
      <c r="K403" s="128" t="e">
        <f t="shared" si="186"/>
        <v>#REF!</v>
      </c>
      <c r="L403" s="128" t="e">
        <f t="shared" si="186"/>
        <v>#REF!</v>
      </c>
      <c r="M403" s="128" t="e">
        <f t="shared" si="186"/>
        <v>#REF!</v>
      </c>
      <c r="N403" s="128">
        <f t="shared" si="186"/>
        <v>45271.144913599994</v>
      </c>
      <c r="O403" s="128">
        <f t="shared" si="186"/>
        <v>86667.86</v>
      </c>
      <c r="P403" s="128">
        <f t="shared" si="186"/>
        <v>144898.76351360005</v>
      </c>
      <c r="Q403" s="128">
        <f t="shared" si="186"/>
        <v>2315.3999999999996</v>
      </c>
      <c r="R403" s="128">
        <f t="shared" si="186"/>
        <v>64610</v>
      </c>
      <c r="S403" s="128">
        <f t="shared" si="186"/>
        <v>44389</v>
      </c>
      <c r="T403" s="128">
        <f t="shared" si="186"/>
        <v>3353.91</v>
      </c>
      <c r="U403" s="128">
        <f t="shared" si="186"/>
        <v>4700</v>
      </c>
      <c r="V403" s="128">
        <f t="shared" si="186"/>
        <v>1043093.4861984</v>
      </c>
      <c r="W403" s="258">
        <f t="shared" si="186"/>
        <v>966693.48619840003</v>
      </c>
      <c r="Y403" s="17">
        <f>Y400+Y369+Y362+Y352+Y345+Y336+Y329+Y318+Y295+Y286+Y279+Y274+Y236+Y228+Y222+Y210+Y189+Y176+Y163+Y156+Y149+Y132+Y119+Y109+Y102+Y92+Y86+Y81+Y73+Y57+Y50+Y41+Y30+Y19</f>
        <v>1035682.5060703999</v>
      </c>
      <c r="Z403" s="19">
        <f>Z400+Z369+Z362+Z352+Z345+Z336+Z329+Z318+Z295+Z286+Z279+Z274+Z236+Z228+Z222+Z210+Z189+Z176+Z163+Z156+Z149+Z132+Z119+Z109+Z102+Z92+Z86+Z81+Z73+Z57+Z50+Z41+Z30+Z19</f>
        <v>960082.50607040001</v>
      </c>
    </row>
    <row r="404" spans="1:26" x14ac:dyDescent="0.25">
      <c r="A404" s="43"/>
      <c r="B404" s="54"/>
      <c r="E404" s="217"/>
      <c r="F404" s="129"/>
      <c r="G404" s="129"/>
      <c r="H404" s="129"/>
      <c r="I404" s="130"/>
      <c r="J404" s="129"/>
      <c r="K404" s="129"/>
      <c r="L404" s="129"/>
      <c r="M404" s="129"/>
      <c r="N404" s="129"/>
      <c r="O404" s="129"/>
      <c r="P404" s="129"/>
      <c r="Q404" s="129"/>
      <c r="R404" s="130"/>
      <c r="S404" s="129"/>
      <c r="T404" s="129"/>
      <c r="U404" s="129"/>
      <c r="V404" s="130"/>
      <c r="W404" s="129"/>
      <c r="Y404" s="14">
        <f>Y403-V403</f>
        <v>-7410.9801280001411</v>
      </c>
    </row>
    <row r="405" spans="1:26" ht="15.75" x14ac:dyDescent="0.25">
      <c r="A405" s="43"/>
      <c r="B405" s="54"/>
      <c r="D405" s="160"/>
      <c r="E405" s="213"/>
      <c r="F405" s="84"/>
      <c r="G405" s="84"/>
      <c r="H405" s="99"/>
      <c r="I405" s="273"/>
      <c r="J405" s="273"/>
      <c r="K405" s="84"/>
      <c r="L405" s="84"/>
      <c r="M405" s="84"/>
      <c r="N405" s="84"/>
      <c r="O405" s="84"/>
      <c r="P405" s="99"/>
      <c r="Q405" s="84"/>
      <c r="R405" s="84"/>
      <c r="S405" s="274" t="s">
        <v>569</v>
      </c>
      <c r="T405" s="274"/>
      <c r="U405" s="274"/>
      <c r="V405" s="274"/>
      <c r="W405" s="189">
        <f>W383+W382+W305+W300+W232+W196+W106+W244</f>
        <v>38511.589264000002</v>
      </c>
      <c r="X405" s="14"/>
      <c r="Y405" s="14"/>
    </row>
    <row r="406" spans="1:26" ht="16.5" thickBot="1" x14ac:dyDescent="0.3">
      <c r="A406" s="43"/>
      <c r="B406" s="54"/>
      <c r="D406" s="183"/>
      <c r="E406" s="218"/>
      <c r="F406" s="131"/>
      <c r="G406" s="131"/>
      <c r="H406" s="132"/>
      <c r="I406" s="132"/>
      <c r="J406" s="272"/>
      <c r="K406" s="272"/>
      <c r="L406" s="272"/>
      <c r="M406" s="272"/>
      <c r="N406" s="272"/>
      <c r="O406" s="272"/>
      <c r="P406" s="272"/>
      <c r="Q406" s="132"/>
      <c r="R406" s="131"/>
      <c r="S406" s="133"/>
      <c r="T406" s="275" t="s">
        <v>471</v>
      </c>
      <c r="U406" s="275"/>
      <c r="V406" s="275"/>
      <c r="W406" s="188">
        <f>T278+T396+T378</f>
        <v>3333.91</v>
      </c>
    </row>
    <row r="407" spans="1:26" ht="21" x14ac:dyDescent="0.25">
      <c r="A407" s="43"/>
      <c r="B407" s="229"/>
      <c r="C407" s="228"/>
      <c r="D407" s="183"/>
      <c r="E407" s="218"/>
      <c r="F407" s="131"/>
      <c r="G407" s="131"/>
      <c r="H407" s="132"/>
      <c r="I407" s="132"/>
      <c r="J407" s="85"/>
      <c r="K407" s="85"/>
      <c r="L407" s="85"/>
      <c r="M407" s="85"/>
      <c r="N407" s="85"/>
      <c r="O407" s="85"/>
      <c r="P407" s="85"/>
      <c r="Q407" s="132"/>
      <c r="R407" s="131"/>
      <c r="S407" s="134"/>
      <c r="T407" s="135"/>
      <c r="U407" s="283" t="s">
        <v>568</v>
      </c>
      <c r="V407" s="283"/>
      <c r="W407" s="136">
        <f>W405+W406</f>
        <v>41845.499263999998</v>
      </c>
    </row>
    <row r="408" spans="1:26" ht="16.5" thickBot="1" x14ac:dyDescent="0.3">
      <c r="A408" s="43"/>
      <c r="B408" s="54"/>
      <c r="D408" s="183"/>
      <c r="E408" s="218"/>
      <c r="F408" s="131"/>
      <c r="G408" s="131"/>
      <c r="H408" s="132"/>
      <c r="I408" s="132"/>
      <c r="J408" s="85"/>
      <c r="K408" s="85"/>
      <c r="L408" s="85"/>
      <c r="M408" s="85"/>
      <c r="N408" s="85"/>
      <c r="O408" s="85"/>
      <c r="P408" s="85"/>
      <c r="Q408" s="132"/>
      <c r="R408" s="131"/>
      <c r="S408" s="134"/>
      <c r="T408" s="135"/>
      <c r="U408" s="137"/>
      <c r="V408" s="146"/>
      <c r="W408" s="136"/>
    </row>
    <row r="409" spans="1:26" ht="16.5" thickBot="1" x14ac:dyDescent="0.3">
      <c r="A409" s="43"/>
      <c r="B409" s="54"/>
      <c r="D409" s="183"/>
      <c r="E409" s="218"/>
      <c r="F409" s="131"/>
      <c r="G409" s="131"/>
      <c r="H409" s="85"/>
      <c r="I409" s="131"/>
      <c r="J409" s="272"/>
      <c r="K409" s="272"/>
      <c r="L409" s="272"/>
      <c r="M409" s="272"/>
      <c r="N409" s="272"/>
      <c r="O409" s="272"/>
      <c r="P409" s="272"/>
      <c r="Q409" s="85"/>
      <c r="R409" s="131"/>
      <c r="S409" s="135"/>
      <c r="T409" s="135"/>
      <c r="U409" s="276" t="s">
        <v>472</v>
      </c>
      <c r="V409" s="277"/>
      <c r="W409" s="138">
        <f>W403-W405-W408</f>
        <v>928181.89693440008</v>
      </c>
      <c r="X409" s="14"/>
    </row>
    <row r="410" spans="1:26" ht="16.5" thickBot="1" x14ac:dyDescent="0.3">
      <c r="A410" s="43"/>
      <c r="B410" s="54"/>
      <c r="D410" s="183"/>
      <c r="E410" s="218"/>
      <c r="F410" s="131"/>
      <c r="G410" s="131"/>
      <c r="H410" s="85"/>
      <c r="I410" s="85"/>
      <c r="J410" s="272"/>
      <c r="K410" s="272"/>
      <c r="L410" s="272"/>
      <c r="M410" s="272"/>
      <c r="N410" s="272"/>
      <c r="O410" s="272"/>
      <c r="P410" s="272"/>
      <c r="Q410" s="85"/>
      <c r="R410" s="131"/>
      <c r="S410" s="135"/>
      <c r="T410" s="135"/>
      <c r="U410" s="135"/>
      <c r="V410" s="145"/>
      <c r="W410" s="145"/>
    </row>
    <row r="411" spans="1:26" ht="16.5" thickBot="1" x14ac:dyDescent="0.3">
      <c r="A411" s="43"/>
      <c r="B411" s="54"/>
      <c r="D411" s="160"/>
      <c r="E411" s="213"/>
      <c r="F411" s="84"/>
      <c r="G411" s="84"/>
      <c r="H411" s="99"/>
      <c r="I411" s="84"/>
      <c r="J411" s="84"/>
      <c r="K411" s="84"/>
      <c r="L411" s="84"/>
      <c r="M411" s="84"/>
      <c r="N411" s="84"/>
      <c r="O411" s="84"/>
      <c r="P411" s="84"/>
      <c r="Q411" s="84"/>
      <c r="R411" s="99"/>
      <c r="S411" s="280" t="s">
        <v>547</v>
      </c>
      <c r="T411" s="281"/>
      <c r="U411" s="281"/>
      <c r="V411" s="282"/>
      <c r="W411" s="139">
        <v>925214.54</v>
      </c>
      <c r="X411" s="14"/>
    </row>
    <row r="412" spans="1:26" ht="15.75" x14ac:dyDescent="0.25">
      <c r="A412" s="43"/>
      <c r="B412" s="54"/>
      <c r="H412" s="140"/>
      <c r="S412" s="279"/>
      <c r="T412" s="279"/>
      <c r="U412" s="279"/>
      <c r="V412" s="279"/>
      <c r="W412" s="141">
        <f>W411-W409</f>
        <v>-2967.3569344000425</v>
      </c>
      <c r="X412" s="14"/>
    </row>
    <row r="413" spans="1:26" x14ac:dyDescent="0.25">
      <c r="A413" s="43"/>
      <c r="B413" s="54"/>
      <c r="H413" s="140"/>
      <c r="J413" s="140"/>
      <c r="K413" s="140"/>
      <c r="L413" s="140"/>
      <c r="M413" s="140"/>
      <c r="N413" s="140"/>
      <c r="O413" s="140"/>
      <c r="R413" s="140"/>
      <c r="S413" s="140"/>
      <c r="T413" s="140"/>
      <c r="W413" s="140"/>
    </row>
    <row r="414" spans="1:26" x14ac:dyDescent="0.25">
      <c r="A414" s="43"/>
      <c r="B414" s="54"/>
      <c r="H414" s="142"/>
      <c r="I414" s="143"/>
      <c r="P414" s="140"/>
    </row>
    <row r="415" spans="1:26" x14ac:dyDescent="0.25">
      <c r="A415" s="43"/>
      <c r="B415" s="54"/>
      <c r="J415" s="140"/>
      <c r="K415" s="140"/>
      <c r="L415" s="140"/>
      <c r="M415" s="140"/>
      <c r="N415" s="140"/>
      <c r="O415" s="140"/>
      <c r="Q415" s="140"/>
      <c r="R415" s="140"/>
      <c r="S415" s="140"/>
    </row>
    <row r="416" spans="1:26" x14ac:dyDescent="0.25">
      <c r="A416" s="43"/>
      <c r="B416" s="54"/>
      <c r="J416" s="140"/>
      <c r="K416" s="140"/>
      <c r="L416" s="140"/>
      <c r="M416" s="140"/>
      <c r="N416" s="140"/>
      <c r="O416" s="140"/>
    </row>
    <row r="418" spans="20:20" x14ac:dyDescent="0.25">
      <c r="T418" s="140"/>
    </row>
  </sheetData>
  <mergeCells count="49">
    <mergeCell ref="S412:V412"/>
    <mergeCell ref="A111:W111"/>
    <mergeCell ref="S411:V411"/>
    <mergeCell ref="U407:V407"/>
    <mergeCell ref="F400:G400"/>
    <mergeCell ref="J410:P410"/>
    <mergeCell ref="A238:W238"/>
    <mergeCell ref="A276:W276"/>
    <mergeCell ref="A282:W282"/>
    <mergeCell ref="A287:W287"/>
    <mergeCell ref="A298:W298"/>
    <mergeCell ref="A123:W123"/>
    <mergeCell ref="A136:W136"/>
    <mergeCell ref="A151:W151"/>
    <mergeCell ref="A158:W158"/>
    <mergeCell ref="A165:W165"/>
    <mergeCell ref="A1:W1"/>
    <mergeCell ref="J406:P406"/>
    <mergeCell ref="J409:P409"/>
    <mergeCell ref="I405:J405"/>
    <mergeCell ref="S405:V405"/>
    <mergeCell ref="T406:V406"/>
    <mergeCell ref="U409:V409"/>
    <mergeCell ref="A178:W178"/>
    <mergeCell ref="A192:W192"/>
    <mergeCell ref="A213:W213"/>
    <mergeCell ref="A225:W225"/>
    <mergeCell ref="A230:W230"/>
    <mergeCell ref="A83:W83"/>
    <mergeCell ref="A88:W88"/>
    <mergeCell ref="A97:W97"/>
    <mergeCell ref="A104:W104"/>
    <mergeCell ref="A33:W33"/>
    <mergeCell ref="A44:W44"/>
    <mergeCell ref="A52:W52"/>
    <mergeCell ref="A59:W59"/>
    <mergeCell ref="A75:W75"/>
    <mergeCell ref="A2:W2"/>
    <mergeCell ref="A3:W3"/>
    <mergeCell ref="A4:W4"/>
    <mergeCell ref="A22:W22"/>
    <mergeCell ref="A6:W6"/>
    <mergeCell ref="A372:W372"/>
    <mergeCell ref="A321:W321"/>
    <mergeCell ref="A331:W331"/>
    <mergeCell ref="A338:W338"/>
    <mergeCell ref="A347:W347"/>
    <mergeCell ref="A354:W354"/>
    <mergeCell ref="A365:W365"/>
  </mergeCells>
  <pageMargins left="0.23622047244094491" right="0" top="0.43307086614173229" bottom="0.55118110236220474" header="0.51181102362204722" footer="0.43307086614173229"/>
  <pageSetup paperSize="5" scale="65" orientation="landscape" r:id="rId1"/>
  <ignoredErrors>
    <ignoredError sqref="P26 N28 N70 P70 N169 N30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A4" sqref="A4"/>
    </sheetView>
  </sheetViews>
  <sheetFormatPr baseColWidth="10" defaultRowHeight="15" x14ac:dyDescent="0.25"/>
  <cols>
    <col min="1" max="16384" width="11.42578125" style="2"/>
  </cols>
  <sheetData>
    <row r="2" spans="1:13" x14ac:dyDescent="0.25">
      <c r="A2" s="1" t="s">
        <v>278</v>
      </c>
      <c r="B2" s="1"/>
      <c r="C2" s="1"/>
      <c r="D2" s="1"/>
      <c r="E2" s="1"/>
      <c r="F2" s="1"/>
      <c r="H2" s="1" t="s">
        <v>279</v>
      </c>
      <c r="I2" s="1"/>
      <c r="J2" s="1"/>
      <c r="K2" s="1"/>
      <c r="L2" s="1"/>
      <c r="M2" s="1"/>
    </row>
    <row r="3" spans="1:13" x14ac:dyDescent="0.25">
      <c r="A3" s="1" t="s">
        <v>280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281</v>
      </c>
      <c r="B4" s="4"/>
      <c r="C4" s="4"/>
      <c r="D4" s="4"/>
      <c r="E4" s="4"/>
      <c r="F4" s="4"/>
      <c r="H4" s="1" t="s">
        <v>282</v>
      </c>
      <c r="I4" s="1"/>
      <c r="J4" s="1"/>
      <c r="K4" s="1"/>
      <c r="L4" s="1"/>
      <c r="M4" s="3"/>
    </row>
    <row r="5" spans="1:13" x14ac:dyDescent="0.25">
      <c r="A5" s="1" t="s">
        <v>283</v>
      </c>
      <c r="B5" s="1"/>
      <c r="C5" s="1"/>
      <c r="D5" s="1"/>
      <c r="E5" s="1"/>
      <c r="F5" s="1"/>
      <c r="H5" s="1" t="s">
        <v>284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285</v>
      </c>
      <c r="C8" s="5" t="s">
        <v>286</v>
      </c>
      <c r="D8" s="5" t="s">
        <v>287</v>
      </c>
      <c r="E8" s="5" t="s">
        <v>288</v>
      </c>
      <c r="H8" s="3"/>
      <c r="I8" s="5" t="s">
        <v>289</v>
      </c>
      <c r="J8" s="5" t="s">
        <v>290</v>
      </c>
      <c r="K8" s="5" t="s">
        <v>291</v>
      </c>
      <c r="L8" s="3"/>
      <c r="M8" s="3"/>
    </row>
    <row r="9" spans="1:13" x14ac:dyDescent="0.25">
      <c r="B9" s="5" t="s">
        <v>292</v>
      </c>
      <c r="C9" s="5" t="s">
        <v>293</v>
      </c>
      <c r="D9" s="5" t="s">
        <v>294</v>
      </c>
      <c r="E9" s="5" t="s">
        <v>295</v>
      </c>
      <c r="H9" s="3"/>
      <c r="I9" s="5" t="s">
        <v>296</v>
      </c>
      <c r="J9" s="5" t="s">
        <v>296</v>
      </c>
      <c r="K9" s="5" t="s">
        <v>297</v>
      </c>
      <c r="L9" s="3"/>
      <c r="M9" s="3"/>
    </row>
    <row r="10" spans="1:13" x14ac:dyDescent="0.25">
      <c r="B10" s="6" t="s">
        <v>298</v>
      </c>
      <c r="C10" s="6" t="s">
        <v>298</v>
      </c>
      <c r="D10" s="6" t="s">
        <v>298</v>
      </c>
      <c r="E10" s="6" t="s">
        <v>299</v>
      </c>
    </row>
    <row r="11" spans="1:13" x14ac:dyDescent="0.25">
      <c r="B11" s="7">
        <v>0.01</v>
      </c>
      <c r="C11" s="7">
        <v>244.8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">
        <v>244.81</v>
      </c>
      <c r="C12" s="7">
        <v>2077.5</v>
      </c>
      <c r="D12" s="7">
        <v>4.6500000000000004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">
        <v>2077.5100000000002</v>
      </c>
      <c r="C13" s="7">
        <v>3651</v>
      </c>
      <c r="D13" s="7">
        <v>121.95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">
        <v>3651.01</v>
      </c>
      <c r="C14" s="7">
        <v>4244</v>
      </c>
      <c r="D14" s="7">
        <v>293.25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7">
        <v>4244.01</v>
      </c>
      <c r="C15" s="7">
        <v>5081</v>
      </c>
      <c r="D15" s="7">
        <v>388.05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">
        <v>5081.01</v>
      </c>
      <c r="C16" s="7">
        <v>10248</v>
      </c>
      <c r="D16" s="7">
        <v>538.20000000000005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7">
        <v>10248.01</v>
      </c>
      <c r="C17" s="7">
        <v>16153</v>
      </c>
      <c r="D17" s="7">
        <v>1641.75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">
        <v>16153.01</v>
      </c>
      <c r="C18" s="7">
        <v>30838</v>
      </c>
      <c r="D18" s="7">
        <v>3030.6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">
        <v>30838.01</v>
      </c>
      <c r="C19" s="7">
        <v>41118</v>
      </c>
      <c r="D19" s="7">
        <v>7436.25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">
        <v>41118.01</v>
      </c>
      <c r="C20" s="7">
        <v>123355</v>
      </c>
      <c r="D20" s="7">
        <v>10725.75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">
        <v>123355.01</v>
      </c>
      <c r="C21" s="7" t="s">
        <v>300</v>
      </c>
      <c r="D21" s="7">
        <v>38686.35</v>
      </c>
      <c r="E21" s="8">
        <v>0.35</v>
      </c>
      <c r="F21" s="9"/>
      <c r="I21" s="7">
        <v>3642.61</v>
      </c>
      <c r="J21" s="3" t="s">
        <v>300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" sqref="A1:G30"/>
    </sheetView>
  </sheetViews>
  <sheetFormatPr baseColWidth="10" defaultRowHeight="15" x14ac:dyDescent="0.25"/>
  <cols>
    <col min="1" max="1" width="7.28515625" customWidth="1"/>
    <col min="2" max="2" width="13" customWidth="1"/>
    <col min="6" max="6" width="8" customWidth="1"/>
    <col min="7" max="7" width="9.7109375" customWidth="1"/>
    <col min="8" max="8" width="16.42578125" customWidth="1"/>
  </cols>
  <sheetData>
    <row r="1" spans="1:7" ht="16.5" customHeight="1" x14ac:dyDescent="0.25">
      <c r="B1" s="285" t="s">
        <v>446</v>
      </c>
      <c r="C1" s="285"/>
      <c r="D1" s="285"/>
      <c r="E1" s="285"/>
      <c r="F1" s="285"/>
      <c r="G1" s="285"/>
    </row>
    <row r="2" spans="1:7" ht="21" customHeight="1" x14ac:dyDescent="0.25">
      <c r="B2" s="285"/>
      <c r="C2" s="285"/>
      <c r="D2" s="285"/>
      <c r="E2" s="285"/>
      <c r="F2" s="285"/>
      <c r="G2" s="285"/>
    </row>
    <row r="3" spans="1:7" ht="18" customHeight="1" x14ac:dyDescent="0.25">
      <c r="B3" s="287" t="s">
        <v>447</v>
      </c>
      <c r="C3" s="287"/>
      <c r="D3" s="287"/>
      <c r="E3" s="287"/>
      <c r="F3" s="287"/>
      <c r="G3" s="287"/>
    </row>
    <row r="4" spans="1:7" ht="22.5" customHeight="1" x14ac:dyDescent="0.25">
      <c r="B4" s="288" t="s">
        <v>615</v>
      </c>
      <c r="C4" s="288"/>
      <c r="D4" s="288"/>
      <c r="E4" s="288"/>
      <c r="F4" s="288"/>
      <c r="G4" s="288"/>
    </row>
    <row r="5" spans="1:7" ht="15.75" x14ac:dyDescent="0.25">
      <c r="B5" s="191"/>
      <c r="C5" s="191"/>
      <c r="D5" s="191"/>
      <c r="E5" s="191"/>
      <c r="F5" s="191"/>
      <c r="G5" s="191"/>
    </row>
    <row r="6" spans="1:7" ht="18.75" x14ac:dyDescent="0.3">
      <c r="A6" s="289" t="s">
        <v>623</v>
      </c>
      <c r="B6" s="289"/>
      <c r="C6" s="289"/>
      <c r="D6" s="289"/>
      <c r="E6" s="289"/>
      <c r="F6" s="289"/>
      <c r="G6" s="289"/>
    </row>
    <row r="7" spans="1:7" ht="18.75" x14ac:dyDescent="0.3">
      <c r="A7" s="290" t="s">
        <v>671</v>
      </c>
      <c r="B7" s="290"/>
      <c r="C7" s="290"/>
      <c r="D7" s="290"/>
      <c r="E7" s="290"/>
      <c r="F7" s="290"/>
      <c r="G7" s="290"/>
    </row>
    <row r="8" spans="1:7" ht="18.75" x14ac:dyDescent="0.3">
      <c r="B8" s="194"/>
      <c r="C8" s="194"/>
      <c r="D8" s="194"/>
      <c r="E8" s="194"/>
      <c r="F8" s="194"/>
      <c r="G8" s="194"/>
    </row>
    <row r="9" spans="1:7" ht="18.75" x14ac:dyDescent="0.3">
      <c r="A9" s="286" t="s">
        <v>622</v>
      </c>
      <c r="B9" s="286"/>
      <c r="C9" s="286"/>
      <c r="D9" s="286"/>
      <c r="E9" s="286"/>
      <c r="F9" s="286"/>
      <c r="G9" s="286"/>
    </row>
    <row r="10" spans="1:7" ht="15.75" x14ac:dyDescent="0.25">
      <c r="A10" s="192" t="s">
        <v>617</v>
      </c>
      <c r="B10" s="291" t="s">
        <v>17</v>
      </c>
      <c r="C10" s="292"/>
      <c r="D10" s="292"/>
      <c r="E10" s="292"/>
      <c r="F10" s="293" t="s">
        <v>616</v>
      </c>
      <c r="G10" s="294"/>
    </row>
    <row r="11" spans="1:7" ht="15.75" x14ac:dyDescent="0.25">
      <c r="A11" s="190">
        <v>1</v>
      </c>
      <c r="B11" s="295" t="s">
        <v>217</v>
      </c>
      <c r="C11" s="295"/>
      <c r="D11" s="295"/>
      <c r="E11" s="295"/>
      <c r="F11" s="296">
        <v>8348.15</v>
      </c>
      <c r="G11" s="297"/>
    </row>
    <row r="12" spans="1:7" ht="15.75" x14ac:dyDescent="0.25">
      <c r="A12" s="202">
        <v>2</v>
      </c>
      <c r="B12" s="298" t="s">
        <v>195</v>
      </c>
      <c r="C12" s="299"/>
      <c r="D12" s="299"/>
      <c r="E12" s="300"/>
      <c r="F12" s="302">
        <v>5420.44</v>
      </c>
      <c r="G12" s="302"/>
    </row>
    <row r="13" spans="1:7" ht="15.75" x14ac:dyDescent="0.25">
      <c r="A13" s="202">
        <v>3</v>
      </c>
      <c r="B13" s="298" t="s">
        <v>371</v>
      </c>
      <c r="C13" s="299"/>
      <c r="D13" s="299"/>
      <c r="E13" s="300"/>
      <c r="F13" s="302">
        <v>5440.44</v>
      </c>
      <c r="G13" s="302"/>
    </row>
    <row r="14" spans="1:7" ht="15.75" x14ac:dyDescent="0.25">
      <c r="A14" s="202">
        <v>4</v>
      </c>
      <c r="B14" s="298" t="s">
        <v>655</v>
      </c>
      <c r="C14" s="299"/>
      <c r="D14" s="299"/>
      <c r="E14" s="300"/>
      <c r="F14" s="302">
        <v>6815.15</v>
      </c>
      <c r="G14" s="302"/>
    </row>
    <row r="15" spans="1:7" ht="15.75" x14ac:dyDescent="0.25">
      <c r="A15" s="202">
        <v>5</v>
      </c>
      <c r="B15" s="298" t="s">
        <v>519</v>
      </c>
      <c r="C15" s="299"/>
      <c r="D15" s="299"/>
      <c r="E15" s="300"/>
      <c r="F15" s="301">
        <v>1819.35</v>
      </c>
      <c r="G15" s="301"/>
    </row>
    <row r="16" spans="1:7" ht="15.75" x14ac:dyDescent="0.25">
      <c r="A16" s="202">
        <v>6</v>
      </c>
      <c r="B16" s="307" t="s">
        <v>346</v>
      </c>
      <c r="C16" s="307"/>
      <c r="D16" s="307"/>
      <c r="E16" s="307"/>
      <c r="F16" s="301">
        <v>3179.39</v>
      </c>
      <c r="G16" s="301"/>
    </row>
    <row r="17" spans="1:7" ht="15.75" x14ac:dyDescent="0.25">
      <c r="A17" s="202">
        <v>7</v>
      </c>
      <c r="B17" s="307" t="s">
        <v>561</v>
      </c>
      <c r="C17" s="307"/>
      <c r="D17" s="307"/>
      <c r="E17" s="307"/>
      <c r="F17" s="301">
        <v>4279.3900000000003</v>
      </c>
      <c r="G17" s="301"/>
    </row>
    <row r="18" spans="1:7" ht="15.75" x14ac:dyDescent="0.25">
      <c r="A18" s="202">
        <v>8</v>
      </c>
      <c r="B18" s="298" t="s">
        <v>662</v>
      </c>
      <c r="C18" s="299"/>
      <c r="D18" s="299"/>
      <c r="E18" s="300"/>
      <c r="F18" s="305">
        <v>3209.28</v>
      </c>
      <c r="G18" s="306"/>
    </row>
    <row r="19" spans="1:7" ht="15.75" x14ac:dyDescent="0.25">
      <c r="B19" s="182"/>
      <c r="C19" s="182"/>
      <c r="D19" s="308" t="s">
        <v>618</v>
      </c>
      <c r="E19" s="309"/>
      <c r="F19" s="310">
        <f>SUM(F11:G18)</f>
        <v>38511.589999999997</v>
      </c>
      <c r="G19" s="311"/>
    </row>
    <row r="20" spans="1:7" x14ac:dyDescent="0.25">
      <c r="B20" s="182"/>
      <c r="C20" s="182"/>
      <c r="D20" s="198"/>
      <c r="E20" s="199"/>
      <c r="F20" s="200"/>
      <c r="G20" s="201"/>
    </row>
    <row r="22" spans="1:7" ht="21" x14ac:dyDescent="0.35">
      <c r="A22" s="303" t="s">
        <v>619</v>
      </c>
      <c r="B22" s="304"/>
      <c r="C22" s="304"/>
      <c r="D22" s="304"/>
      <c r="E22" s="304"/>
      <c r="F22" s="304"/>
      <c r="G22" s="304"/>
    </row>
    <row r="23" spans="1:7" ht="15.75" x14ac:dyDescent="0.25">
      <c r="A23" s="192" t="s">
        <v>617</v>
      </c>
      <c r="B23" s="291" t="s">
        <v>17</v>
      </c>
      <c r="C23" s="292"/>
      <c r="D23" s="292"/>
      <c r="E23" s="292"/>
      <c r="F23" s="293" t="s">
        <v>616</v>
      </c>
      <c r="G23" s="294"/>
    </row>
    <row r="24" spans="1:7" ht="15.75" x14ac:dyDescent="0.25">
      <c r="A24" s="190">
        <v>2</v>
      </c>
      <c r="B24" s="317" t="s">
        <v>620</v>
      </c>
      <c r="C24" s="318"/>
      <c r="D24" s="318"/>
      <c r="E24" s="319"/>
      <c r="F24" s="320">
        <v>1793.71</v>
      </c>
      <c r="G24" s="320"/>
    </row>
    <row r="25" spans="1:7" ht="15.75" x14ac:dyDescent="0.25">
      <c r="A25" s="190">
        <v>3</v>
      </c>
      <c r="B25" s="317" t="s">
        <v>621</v>
      </c>
      <c r="C25" s="318"/>
      <c r="D25" s="318"/>
      <c r="E25" s="319"/>
      <c r="F25" s="320">
        <v>1540.2</v>
      </c>
      <c r="G25" s="320"/>
    </row>
    <row r="26" spans="1:7" ht="15.75" x14ac:dyDescent="0.25">
      <c r="D26" s="321" t="s">
        <v>618</v>
      </c>
      <c r="E26" s="322"/>
      <c r="F26" s="323">
        <f>SUM(F24:G25)</f>
        <v>3333.91</v>
      </c>
      <c r="G26" s="324"/>
    </row>
    <row r="28" spans="1:7" ht="15.75" thickBot="1" x14ac:dyDescent="0.3"/>
    <row r="29" spans="1:7" ht="21.75" thickBot="1" x14ac:dyDescent="0.4">
      <c r="D29" s="312" t="s">
        <v>618</v>
      </c>
      <c r="E29" s="313"/>
      <c r="F29" s="314">
        <f>F26+F19</f>
        <v>41845.5</v>
      </c>
      <c r="G29" s="315"/>
    </row>
    <row r="30" spans="1:7" x14ac:dyDescent="0.25">
      <c r="F30" s="316"/>
      <c r="G30" s="316"/>
    </row>
  </sheetData>
  <mergeCells count="38">
    <mergeCell ref="D29:E29"/>
    <mergeCell ref="F29:G29"/>
    <mergeCell ref="F30:G30"/>
    <mergeCell ref="B24:E24"/>
    <mergeCell ref="F24:G24"/>
    <mergeCell ref="B25:E25"/>
    <mergeCell ref="F25:G25"/>
    <mergeCell ref="D26:E26"/>
    <mergeCell ref="F26:G26"/>
    <mergeCell ref="B16:E16"/>
    <mergeCell ref="F16:G16"/>
    <mergeCell ref="B17:E17"/>
    <mergeCell ref="F17:G17"/>
    <mergeCell ref="D19:E19"/>
    <mergeCell ref="F19:G19"/>
    <mergeCell ref="A22:G22"/>
    <mergeCell ref="B23:E23"/>
    <mergeCell ref="F23:G23"/>
    <mergeCell ref="B18:E18"/>
    <mergeCell ref="F18:G18"/>
    <mergeCell ref="B10:E10"/>
    <mergeCell ref="F10:G10"/>
    <mergeCell ref="B11:E11"/>
    <mergeCell ref="F11:G11"/>
    <mergeCell ref="B15:E15"/>
    <mergeCell ref="F15:G15"/>
    <mergeCell ref="B12:E12"/>
    <mergeCell ref="F12:G12"/>
    <mergeCell ref="B13:E13"/>
    <mergeCell ref="F13:G13"/>
    <mergeCell ref="B14:E14"/>
    <mergeCell ref="F14:G14"/>
    <mergeCell ref="B1:G2"/>
    <mergeCell ref="A9:G9"/>
    <mergeCell ref="B3:G3"/>
    <mergeCell ref="B4:G4"/>
    <mergeCell ref="A6:G6"/>
    <mergeCell ref="A7:G7"/>
  </mergeCells>
  <pageMargins left="0.7" right="0.24" top="0.75" bottom="0.75" header="0.3" footer="0.3"/>
  <pageSetup paperSize="9" orientation="portrait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2020-09-21T21:07:48Z</cp:lastPrinted>
  <dcterms:created xsi:type="dcterms:W3CDTF">2012-09-01T00:58:13Z</dcterms:created>
  <dcterms:modified xsi:type="dcterms:W3CDTF">2020-09-23T15:30:52Z</dcterms:modified>
</cp:coreProperties>
</file>